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roups\Administration\True North Metrics &amp; Division Dashboards\Division Dashboards\FY23\Operational Services Dashboards\"/>
    </mc:Choice>
  </mc:AlternateContent>
  <bookViews>
    <workbookView xWindow="0" yWindow="4965" windowWidth="23040" windowHeight="3720"/>
  </bookViews>
  <sheets>
    <sheet name="FY23" sheetId="1" r:id="rId1"/>
    <sheet name="Sheet1" sheetId="4" r:id="rId2"/>
    <sheet name="Survey Response Detail" sheetId="3" r:id="rId3"/>
    <sheet name="IHEM - Diabetes" sheetId="5" r:id="rId4"/>
  </sheets>
  <externalReferences>
    <externalReference r:id="rId5"/>
    <externalReference r:id="rId6"/>
  </externalReferences>
  <definedNames>
    <definedName name="_xlnm.Print_Titles" localSheetId="0">'FY23'!$2:$2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1" l="1"/>
  <c r="R36" i="1"/>
  <c r="P28" i="1" l="1"/>
  <c r="P29" i="1" s="1"/>
  <c r="P23" i="1"/>
  <c r="P19" i="1" l="1"/>
  <c r="P16" i="1"/>
  <c r="P10" i="1" s="1"/>
  <c r="R15" i="1"/>
  <c r="P13" i="1"/>
  <c r="R9" i="1" l="1"/>
  <c r="R7" i="1"/>
  <c r="R8" i="1"/>
  <c r="O19" i="1" l="1"/>
  <c r="O16" i="1"/>
  <c r="O10" i="1" s="1"/>
  <c r="O13" i="1"/>
  <c r="O28" i="1" l="1"/>
  <c r="O29" i="1" s="1"/>
  <c r="O23" i="1"/>
  <c r="R40" i="1" l="1"/>
  <c r="N19" i="1" l="1"/>
  <c r="N16" i="1"/>
  <c r="N10" i="1" s="1"/>
  <c r="N13" i="1"/>
  <c r="R6" i="1" l="1"/>
  <c r="N28" i="1" l="1"/>
  <c r="N29" i="1" s="1"/>
  <c r="M28" i="1"/>
  <c r="N23" i="1"/>
  <c r="L28" i="1" l="1"/>
  <c r="M29" i="1"/>
  <c r="M26" i="1"/>
  <c r="M23" i="1"/>
  <c r="M19" i="1"/>
  <c r="M16" i="1"/>
  <c r="M13" i="1"/>
  <c r="M10" i="1" l="1"/>
  <c r="G33" i="1" l="1"/>
  <c r="H33" i="1"/>
  <c r="I33" i="1"/>
  <c r="J33" i="1"/>
  <c r="K33" i="1"/>
  <c r="L33" i="1"/>
  <c r="M33" i="1"/>
  <c r="N33" i="1"/>
  <c r="O33" i="1"/>
  <c r="P33" i="1"/>
  <c r="Q33" i="1"/>
  <c r="F33" i="1"/>
  <c r="L19" i="1" l="1"/>
  <c r="L16" i="1"/>
  <c r="L13" i="1"/>
  <c r="L10" i="1" l="1"/>
  <c r="J45" i="1"/>
  <c r="I45" i="1"/>
  <c r="K45" i="1"/>
  <c r="L29" i="1" l="1"/>
  <c r="L23" i="1"/>
  <c r="Q7" i="1" l="1"/>
  <c r="R4" i="1"/>
  <c r="K19" i="1" l="1"/>
  <c r="K16" i="1"/>
  <c r="K13" i="1"/>
  <c r="J19" i="1"/>
  <c r="J16" i="1"/>
  <c r="J13" i="1"/>
  <c r="K10" i="1" l="1"/>
  <c r="J10" i="1"/>
  <c r="K28" i="1"/>
  <c r="K23" i="1"/>
  <c r="J28" i="1"/>
  <c r="K29" i="1" l="1"/>
  <c r="G47" i="1"/>
  <c r="H47" i="1"/>
  <c r="I47" i="1"/>
  <c r="J47" i="1"/>
  <c r="K47" i="1"/>
  <c r="L47" i="1"/>
  <c r="M47" i="1"/>
  <c r="N47" i="1"/>
  <c r="O47" i="1"/>
  <c r="P47" i="1"/>
  <c r="Q47" i="1"/>
  <c r="F47" i="1"/>
  <c r="R44" i="1"/>
  <c r="T44" i="1" s="1"/>
  <c r="R46" i="1"/>
  <c r="T46" i="1" s="1"/>
  <c r="G45" i="1"/>
  <c r="H45" i="1"/>
  <c r="F45" i="1"/>
  <c r="R43" i="1"/>
  <c r="G42" i="1"/>
  <c r="F42" i="1"/>
  <c r="F36" i="1"/>
  <c r="J36" i="1"/>
  <c r="K36" i="1"/>
  <c r="G36" i="1"/>
  <c r="H36" i="1"/>
  <c r="I36" i="1"/>
  <c r="R34" i="1"/>
  <c r="I42" i="1"/>
  <c r="H42" i="1"/>
  <c r="R45" i="1" l="1"/>
  <c r="T45" i="1" s="1"/>
  <c r="R42" i="1"/>
  <c r="K9" i="1"/>
  <c r="J9" i="1"/>
  <c r="K8" i="1"/>
  <c r="J8" i="1"/>
  <c r="K7" i="1"/>
  <c r="J7" i="1"/>
  <c r="I19" i="1" l="1"/>
  <c r="I16" i="1"/>
  <c r="I13" i="1"/>
  <c r="I10" i="1" l="1"/>
  <c r="J30" i="1" l="1"/>
  <c r="I30" i="1"/>
  <c r="J29" i="1" l="1"/>
  <c r="J23" i="1"/>
  <c r="I9" i="1"/>
  <c r="I8" i="1"/>
  <c r="I7" i="1"/>
  <c r="R41" i="1" l="1"/>
  <c r="R47" i="1" s="1"/>
  <c r="R32" i="1" l="1"/>
  <c r="R31" i="1"/>
  <c r="I28" i="1"/>
  <c r="I29" i="1" s="1"/>
  <c r="I23" i="1"/>
  <c r="F19" i="1"/>
  <c r="F16" i="1"/>
  <c r="F13" i="1"/>
  <c r="H19" i="1"/>
  <c r="H16" i="1"/>
  <c r="R12" i="1"/>
  <c r="R11" i="1"/>
  <c r="H13" i="1"/>
  <c r="R33" i="1" l="1"/>
  <c r="H10" i="1"/>
  <c r="R13" i="1"/>
  <c r="F10" i="1"/>
  <c r="H28" i="1"/>
  <c r="H26" i="1"/>
  <c r="H23" i="1"/>
  <c r="G13" i="1"/>
  <c r="H27" i="1"/>
  <c r="R30" i="1"/>
  <c r="H29" i="1" l="1"/>
  <c r="H20" i="1" s="1"/>
  <c r="R14" i="1"/>
  <c r="G18" i="1"/>
  <c r="G17" i="1"/>
  <c r="R17" i="1" s="1"/>
  <c r="G16" i="1"/>
  <c r="G19" i="1" l="1"/>
  <c r="G10" i="1" s="1"/>
  <c r="R16" i="1"/>
  <c r="R18" i="1"/>
  <c r="R19" i="1" s="1"/>
  <c r="R3" i="1"/>
  <c r="R10" i="1" l="1"/>
  <c r="G27" i="1"/>
  <c r="G23" i="1"/>
  <c r="F23" i="1"/>
  <c r="F28" i="1"/>
  <c r="F27" i="1"/>
  <c r="G28" i="1"/>
  <c r="R22" i="1"/>
  <c r="I26" i="1"/>
  <c r="I20" i="1" s="1"/>
  <c r="J26" i="1"/>
  <c r="K26" i="1"/>
  <c r="L26" i="1"/>
  <c r="M20" i="1"/>
  <c r="N26" i="1"/>
  <c r="N20" i="1" s="1"/>
  <c r="O26" i="1"/>
  <c r="P26" i="1"/>
  <c r="P20" i="1" s="1"/>
  <c r="Q26" i="1"/>
  <c r="R24" i="1"/>
  <c r="R25" i="1"/>
  <c r="R21" i="1"/>
  <c r="G26" i="1"/>
  <c r="F29" i="1" l="1"/>
  <c r="G29" i="1"/>
  <c r="R28" i="1"/>
  <c r="R23" i="1"/>
  <c r="R26" i="1"/>
  <c r="R27" i="1" l="1"/>
  <c r="R29" i="1" s="1"/>
  <c r="R20" i="1" s="1"/>
  <c r="F26" i="1"/>
  <c r="Q30" i="1" l="1"/>
  <c r="Q20" i="1"/>
  <c r="G20" i="1"/>
  <c r="J20" i="1"/>
  <c r="K20" i="1"/>
  <c r="L20" i="1"/>
  <c r="O20" i="1"/>
  <c r="F20" i="1"/>
  <c r="H3" i="3" l="1"/>
  <c r="F4" i="3"/>
  <c r="H4" i="3" s="1"/>
  <c r="F5" i="3"/>
  <c r="H5" i="3" s="1"/>
  <c r="F6" i="3"/>
  <c r="H6" i="3" s="1"/>
  <c r="F7" i="3"/>
  <c r="H7" i="3" s="1"/>
  <c r="F8" i="3"/>
  <c r="H8" i="3" s="1"/>
  <c r="I8" i="3" s="1"/>
  <c r="I5" i="3" l="1"/>
  <c r="I7" i="3"/>
  <c r="I6" i="3"/>
  <c r="I4" i="3"/>
  <c r="G2" i="1" l="1"/>
  <c r="H2" i="1" s="1"/>
  <c r="I2" i="1" s="1"/>
  <c r="J2" i="1" s="1"/>
  <c r="K2" i="1" s="1"/>
  <c r="L2" i="1" s="1"/>
  <c r="M2" i="1" s="1"/>
  <c r="N2" i="1" s="1"/>
  <c r="O2" i="1" s="1"/>
  <c r="P2" i="1" s="1"/>
  <c r="Q2" i="1" s="1"/>
</calcChain>
</file>

<file path=xl/sharedStrings.xml><?xml version="1.0" encoding="utf-8"?>
<sst xmlns="http://schemas.openxmlformats.org/spreadsheetml/2006/main" count="188" uniqueCount="149">
  <si>
    <t>Metric</t>
  </si>
  <si>
    <t>Calculation / Measure</t>
  </si>
  <si>
    <t>Purpose</t>
  </si>
  <si>
    <t>Joy at Work</t>
  </si>
  <si>
    <t>Training</t>
  </si>
  <si>
    <t>Rooney Rule</t>
  </si>
  <si>
    <t>Diverse leadership workforce</t>
  </si>
  <si>
    <t>Diversity</t>
  </si>
  <si>
    <t>Implement policy</t>
  </si>
  <si>
    <t>Employee Resource Groups</t>
  </si>
  <si>
    <t>FYTD</t>
  </si>
  <si>
    <t>Lunch &amp; Learn</t>
  </si>
  <si>
    <t># of Lunch and Learn sessions with 24/7 access</t>
  </si>
  <si>
    <t>Encourage a culture of diversity and respect</t>
  </si>
  <si>
    <t>Strongly Agree &amp; Agree Survey  Results: Meritus Health cultivates a culture where people of all backgrounds are welcomed, heard and valued.</t>
  </si>
  <si>
    <t>n/a</t>
  </si>
  <si>
    <t>Overall Diversity</t>
  </si>
  <si>
    <t>ED Opioid Administration</t>
  </si>
  <si>
    <t>Poorly Controlled Diabetes, HbA1c &gt;= 9%</t>
  </si>
  <si>
    <t>plan</t>
  </si>
  <si>
    <t>Small n</t>
  </si>
  <si>
    <t>Some responses could be duplicate if answered in both leadership forum and employee town hall</t>
  </si>
  <si>
    <t>We increased our combined Strongly Agree and Agree from 63% in FY21 to 80% in FY22</t>
  </si>
  <si>
    <t>0 % strongly disagrees with this statement, down from 5% previous year</t>
  </si>
  <si>
    <t>% disagree remains the same</t>
  </si>
  <si>
    <t>Reduced neither agree or disagree by 14 (potentially swayed to answer with agree or disagree)</t>
  </si>
  <si>
    <t xml:space="preserve">Increased 20+ responses to Agree </t>
  </si>
  <si>
    <t>More than doubled responses for Strongly Agree (increased from 23 to 52 responses)</t>
  </si>
  <si>
    <t xml:space="preserve">30+ more responses in FY22 </t>
  </si>
  <si>
    <t>% Strongly Disagree</t>
  </si>
  <si>
    <t>% Disagree</t>
  </si>
  <si>
    <t>% Neither agree or disagree</t>
  </si>
  <si>
    <t>% Agree</t>
  </si>
  <si>
    <t>% Strongly Agree</t>
  </si>
  <si>
    <t>%</t>
  </si>
  <si>
    <t>Total responses</t>
  </si>
  <si>
    <t>Total</t>
  </si>
  <si>
    <t>Employee Town Hall</t>
  </si>
  <si>
    <t>Leadership Forum</t>
  </si>
  <si>
    <t>FY22</t>
  </si>
  <si>
    <t>FY21</t>
  </si>
  <si>
    <t>Meritus Health cultivates a culture where people of all backgrounds are welcomed, heard, and valued.</t>
  </si>
  <si>
    <t># of changes implemented presented by/feedback provided by ERG</t>
  </si>
  <si>
    <t>NEW</t>
  </si>
  <si>
    <t>FY2022 Baseline</t>
  </si>
  <si>
    <t>FY 2023 Target</t>
  </si>
  <si>
    <t>5% increase</t>
  </si>
  <si>
    <t>Quality</t>
  </si>
  <si>
    <t>LEAD Dashboard FY23</t>
  </si>
  <si>
    <t>Exclusively Breastfed</t>
  </si>
  <si>
    <t>Difference in  White versus Non-White Patient % receiving Opioids in the ED</t>
  </si>
  <si>
    <t>Difference in White versus Non-White Patients % with Controlled Diabetes</t>
  </si>
  <si>
    <t>Difference in White versus Non-White Newborns Exclusively Breastfed</t>
  </si>
  <si>
    <t>Total unique white newborns</t>
  </si>
  <si>
    <t>Total unique white newborns exclusively breastfed</t>
  </si>
  <si>
    <t>% unique white newborns exclusively breastfed</t>
  </si>
  <si>
    <t>Total unique non-white newborns</t>
  </si>
  <si>
    <t>Total unique non-white newborns exclusively breastfed</t>
  </si>
  <si>
    <t>% unique non-white newborns exclusively breastfed</t>
  </si>
  <si>
    <t>Source</t>
  </si>
  <si>
    <t>LEAD Council Update</t>
  </si>
  <si>
    <t>Allen</t>
  </si>
  <si>
    <t>Survey Monkey - Christie Phillips (Feb)</t>
  </si>
  <si>
    <t>Jenny Shingleton</t>
  </si>
  <si>
    <t>H:\groups\Leadership Information\FY22\IHEM Workgroups\Pre-term Birth &amp; Newborns Exclusively Breast Fed\Exclusively Breast Fed</t>
  </si>
  <si>
    <t>H:\groups\Leadership Information\FY22\IHEM Workgroups\ED Opioid Administrations &amp; Throughput\Opioid Administration</t>
  </si>
  <si>
    <t>Diverse nursing workforce</t>
  </si>
  <si>
    <t>Total number of diverse employees (self disclosed) / total number of team members</t>
  </si>
  <si>
    <t>Total number of diverse employees supervisor and above (self disclosed) / total number of team members supervisor and above</t>
  </si>
  <si>
    <t>Total number of diverse nursing team members (self disclosed) / total number of team members supervisor and above</t>
  </si>
  <si>
    <t>1 / 1</t>
  </si>
  <si>
    <t>Meritus Care Caller Volunteers</t>
  </si>
  <si>
    <t># of Care Calls Completed</t>
  </si>
  <si>
    <t># Yes to "In the last week, have you felt lonely?</t>
  </si>
  <si>
    <t>In the last week, have you felt lonely?</t>
  </si>
  <si>
    <t># who answered Yes, No, or Decline to  "In the last week, have you felt lonely?"</t>
  </si>
  <si>
    <t>New</t>
  </si>
  <si>
    <t># Yes to "Has the Care Caller Program helped you feel less lonely?"</t>
  </si>
  <si>
    <t>1 / 2</t>
  </si>
  <si>
    <t>2 / 2</t>
  </si>
  <si>
    <t>ERG Implemented Intiatives</t>
  </si>
  <si>
    <t>Oct</t>
  </si>
  <si>
    <t>Nov</t>
  </si>
  <si>
    <t>Dec</t>
  </si>
  <si>
    <t>Jan</t>
  </si>
  <si>
    <t>Feb</t>
  </si>
  <si>
    <t>Mar</t>
  </si>
  <si>
    <t>Apr</t>
  </si>
  <si>
    <t>May</t>
  </si>
  <si>
    <t>FY23</t>
  </si>
  <si>
    <t>Aug</t>
  </si>
  <si>
    <t>Jul</t>
  </si>
  <si>
    <t>Sep</t>
  </si>
  <si>
    <t>Jun</t>
  </si>
  <si>
    <t>Hispanic/Lantino - EVS Spanish speaking rounding with leaders for patient rounding
Nursing Diversity - Policy review on racism</t>
  </si>
  <si>
    <t>#</t>
  </si>
  <si>
    <t>ERG employees referring friends/family to Meritus (TMS reported)</t>
  </si>
  <si>
    <t>Total newborns</t>
  </si>
  <si>
    <t>Total newborns exclusively breastfed</t>
  </si>
  <si>
    <t>% newborns exclusively breastfed</t>
  </si>
  <si>
    <t>22/24</t>
  </si>
  <si>
    <t>23/25</t>
  </si>
  <si>
    <t>11/11</t>
  </si>
  <si>
    <t>Total  patients who received an opioid in ED</t>
  </si>
  <si>
    <t>Total  patients seen in ED</t>
  </si>
  <si>
    <t xml:space="preserve"> %  patients who received an opioid in ED</t>
  </si>
  <si>
    <t>Total  white patients who received an opioid in ED</t>
  </si>
  <si>
    <t>Total  white patients seen in ED</t>
  </si>
  <si>
    <t xml:space="preserve"> %   white patients who received an opioid in ED</t>
  </si>
  <si>
    <t>Total  non-white patients who received an opioid in ED</t>
  </si>
  <si>
    <t>Total  non-white patients seen in ED</t>
  </si>
  <si>
    <t xml:space="preserve"> %  non-white patients who received an opioid in ED</t>
  </si>
  <si>
    <t>True North</t>
  </si>
  <si>
    <t>35/37</t>
  </si>
  <si>
    <t>Date</t>
  </si>
  <si>
    <t>P</t>
  </si>
  <si>
    <t>D</t>
  </si>
  <si>
    <t>S</t>
  </si>
  <si>
    <t>A</t>
  </si>
  <si>
    <t>Hispanic Support Group</t>
  </si>
  <si>
    <t>Black or African American Support Group</t>
  </si>
  <si>
    <t>39/41</t>
  </si>
  <si>
    <t>Active Meritus Care Caller Participants</t>
  </si>
  <si>
    <t>Cumulative Meritus Care  Caller Participants</t>
  </si>
  <si>
    <t>Meritus Care Caller Paid</t>
  </si>
  <si>
    <t>2 FTE</t>
  </si>
  <si>
    <t># of calls by Volunteers</t>
  </si>
  <si>
    <t># of calls by Care Callers Paid</t>
  </si>
  <si>
    <t># of Participants called by Care Caller Paid</t>
  </si>
  <si>
    <t># of Participants called by Care Caller Volunteers</t>
  </si>
  <si>
    <t>Time on calls (min)</t>
  </si>
  <si>
    <t>Time on calls (min) - Volunteers</t>
  </si>
  <si>
    <t>Time on calls (min) - Paid</t>
  </si>
  <si>
    <t>Hrs</t>
  </si>
  <si>
    <t>Average Time per Call (min)</t>
  </si>
  <si>
    <t>https://dataviz.meritushealth.com/PbiReports/powerbi/HospitalApp?rs:embed=true&amp;filter=pbi_x005F_x0020_HospitalAppPageNavigation%2FPageName%20eq%20%27Health%20Equity%20Provider%20ED%20Throughput%27</t>
  </si>
  <si>
    <t>Arrival month -&gt; December 2022
EDDisposition is discharge</t>
  </si>
  <si>
    <t>DiabetesApp - Power BI Report Server (meritushealth.com)</t>
  </si>
  <si>
    <t>48/50</t>
  </si>
  <si>
    <t>4 / 4</t>
  </si>
  <si>
    <t>0 / 0</t>
  </si>
  <si>
    <t>3 / 3</t>
  </si>
  <si>
    <t>% Yes to "In the last week, have you felt lonely?</t>
  </si>
  <si>
    <t>52/54</t>
  </si>
  <si>
    <t>55/57</t>
  </si>
  <si>
    <t>Worked with corp. communications to print “questions for my doctor” notepad in Spanish for Spanish speaking patients
Translated patient workbook into Spanis
Created call light instructions in Spanish, including photo of call light with outline of functions</t>
  </si>
  <si>
    <t>Sharing recipes from different Hispanic/Latin countries once a month via Meritus Messenger</t>
  </si>
  <si>
    <t xml:space="preserve">Monetary bonus to entice team members to obtain language proficiency assessment and/or medical interpreter training through ATLA Language Services 
Flag pins </t>
  </si>
  <si>
    <t>59/61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</si>
</sst>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6"/>
      <color theme="0"/>
      <name val="Calibri"/>
      <family val="2"/>
      <scheme val="minor"/>
    </font>
    <font>
      <sz val="48"/>
      <color theme="0"/>
      <name val="Calibri"/>
      <family val="2"/>
      <scheme val="minor"/>
    </font>
    <font>
      <b/>
      <sz val="18"/>
      <color theme="0"/>
      <name val="Calibri"/>
      <family val="2"/>
      <scheme val="minor"/>
    </font>
    <font>
      <b/>
      <i/>
      <sz val="18"/>
      <color theme="0"/>
      <name val="Calibri"/>
      <family val="2"/>
      <scheme val="minor"/>
    </font>
    <font>
      <sz val="18"/>
      <color theme="1"/>
      <name val="Calibri"/>
      <family val="2"/>
      <scheme val="minor"/>
    </font>
    <font>
      <sz val="18"/>
      <name val="Calibri"/>
      <family val="2"/>
      <scheme val="minor"/>
    </font>
    <font>
      <b/>
      <sz val="18"/>
      <color theme="1"/>
      <name val="Calibri"/>
      <family val="2"/>
      <scheme val="minor"/>
    </font>
    <font>
      <sz val="18"/>
      <color theme="0"/>
      <name val="Calibri"/>
      <family val="2"/>
      <scheme val="minor"/>
    </font>
    <font>
      <sz val="11"/>
      <color rgb="FFFF0000"/>
      <name val="Calibri"/>
      <family val="2"/>
      <scheme val="minor"/>
    </font>
    <font>
      <sz val="11"/>
      <color rgb="FF00B050"/>
      <name val="Calibri"/>
      <family val="2"/>
      <scheme val="minor"/>
    </font>
    <font>
      <sz val="20"/>
      <color theme="1"/>
      <name val="Calibri"/>
      <family val="2"/>
      <scheme val="minor"/>
    </font>
    <font>
      <sz val="22"/>
      <color theme="1"/>
      <name val="Calibri"/>
      <family val="2"/>
      <scheme val="minor"/>
    </font>
    <font>
      <sz val="24"/>
      <color theme="1"/>
      <name val="Calibri"/>
      <family val="2"/>
      <scheme val="minor"/>
    </font>
    <font>
      <b/>
      <sz val="24"/>
      <color theme="1"/>
      <name val="Calibri"/>
      <family val="2"/>
      <scheme val="minor"/>
    </font>
    <font>
      <sz val="24"/>
      <name val="Calibri"/>
      <family val="2"/>
      <scheme val="minor"/>
    </font>
    <font>
      <sz val="24"/>
      <color theme="0"/>
      <name val="Calibri"/>
      <family val="2"/>
      <scheme val="minor"/>
    </font>
    <font>
      <sz val="16"/>
      <color theme="1"/>
      <name val="Calibri"/>
      <family val="2"/>
      <scheme val="minor"/>
    </font>
    <font>
      <u/>
      <sz val="11"/>
      <color theme="10"/>
      <name val="Calibri"/>
      <family val="2"/>
      <scheme val="minor"/>
    </font>
    <font>
      <b/>
      <sz val="22"/>
      <color theme="1"/>
      <name val="Calibri"/>
      <family val="2"/>
      <scheme val="minor"/>
    </font>
  </fonts>
  <fills count="1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rgb="FFCC99FF"/>
        <bgColor indexed="64"/>
      </patternFill>
    </fill>
    <fill>
      <patternFill patternType="solid">
        <fgColor theme="4" tint="0.79998168889431442"/>
        <bgColor indexed="64"/>
      </patternFill>
    </fill>
    <fill>
      <patternFill patternType="solid">
        <fgColor rgb="FFFF9B9B"/>
        <bgColor indexed="64"/>
      </patternFill>
    </fill>
    <fill>
      <patternFill patternType="solid">
        <fgColor rgb="FF93E3FF"/>
        <bgColor indexed="64"/>
      </patternFill>
    </fill>
    <fill>
      <patternFill patternType="solid">
        <fgColor rgb="FF88F0CD"/>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C9C9"/>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66">
    <xf numFmtId="0" fontId="0" fillId="0" borderId="0" xfId="0"/>
    <xf numFmtId="0" fontId="2" fillId="3" borderId="5" xfId="0" applyFont="1" applyFill="1" applyBorder="1" applyAlignment="1">
      <alignment horizontal="center" vertical="center" wrapText="1"/>
    </xf>
    <xf numFmtId="17" fontId="4" fillId="3" borderId="5" xfId="0" quotePrefix="1"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 fontId="6" fillId="5" borderId="16" xfId="0" applyNumberFormat="1" applyFont="1" applyFill="1" applyBorder="1" applyAlignment="1">
      <alignment horizontal="center" vertical="center" wrapText="1"/>
    </xf>
    <xf numFmtId="0" fontId="6" fillId="0" borderId="0" xfId="0" applyFont="1"/>
    <xf numFmtId="0" fontId="6" fillId="0" borderId="20" xfId="0" quotePrefix="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0" fillId="0" borderId="0" xfId="0" applyAlignment="1">
      <alignment vertical="top"/>
    </xf>
    <xf numFmtId="0" fontId="10" fillId="0" borderId="0" xfId="0" applyFont="1" applyAlignment="1">
      <alignment vertical="top"/>
    </xf>
    <xf numFmtId="0" fontId="11" fillId="0" borderId="0" xfId="0" applyFont="1" applyAlignment="1">
      <alignment vertical="top"/>
    </xf>
    <xf numFmtId="9" fontId="0" fillId="5" borderId="17" xfId="1" applyFont="1" applyFill="1" applyBorder="1" applyAlignment="1">
      <alignment horizontal="center" vertical="top"/>
    </xf>
    <xf numFmtId="1" fontId="0" fillId="5" borderId="17" xfId="1" applyNumberFormat="1" applyFont="1" applyFill="1" applyBorder="1" applyAlignment="1">
      <alignment horizontal="center" vertical="top"/>
    </xf>
    <xf numFmtId="9" fontId="0" fillId="10" borderId="17" xfId="1" applyFont="1" applyFill="1" applyBorder="1" applyAlignment="1">
      <alignment horizontal="center" vertical="top"/>
    </xf>
    <xf numFmtId="1" fontId="0" fillId="10" borderId="17" xfId="1" applyNumberFormat="1" applyFont="1" applyFill="1" applyBorder="1" applyAlignment="1">
      <alignment horizontal="center" vertical="top"/>
    </xf>
    <xf numFmtId="0" fontId="0" fillId="0" borderId="17" xfId="0" applyBorder="1" applyAlignment="1">
      <alignment vertical="top"/>
    </xf>
    <xf numFmtId="0" fontId="0" fillId="5" borderId="17" xfId="0" applyFill="1" applyBorder="1" applyAlignment="1">
      <alignment horizontal="center" vertical="top"/>
    </xf>
    <xf numFmtId="0" fontId="0" fillId="10" borderId="17" xfId="0" applyFill="1" applyBorder="1" applyAlignment="1">
      <alignment horizontal="center" vertical="top"/>
    </xf>
    <xf numFmtId="0" fontId="6" fillId="0" borderId="24" xfId="0" applyFont="1" applyFill="1" applyBorder="1" applyAlignment="1">
      <alignment horizontal="left" vertical="center" wrapText="1"/>
    </xf>
    <xf numFmtId="1" fontId="7" fillId="0" borderId="17" xfId="1" applyNumberFormat="1" applyFont="1" applyFill="1" applyBorder="1" applyAlignment="1">
      <alignment horizontal="center" vertical="center" wrapText="1"/>
    </xf>
    <xf numFmtId="1" fontId="7" fillId="0" borderId="24" xfId="1" applyNumberFormat="1" applyFont="1" applyFill="1" applyBorder="1" applyAlignment="1">
      <alignment horizontal="center" vertical="center" wrapText="1"/>
    </xf>
    <xf numFmtId="1" fontId="6" fillId="0" borderId="17" xfId="0" quotePrefix="1" applyNumberFormat="1" applyFont="1" applyFill="1" applyBorder="1" applyAlignment="1">
      <alignment horizontal="center" vertical="center" wrapText="1"/>
    </xf>
    <xf numFmtId="0" fontId="6" fillId="0" borderId="17" xfId="0" applyNumberFormat="1" applyFont="1" applyBorder="1" applyAlignment="1">
      <alignment horizontal="center"/>
    </xf>
    <xf numFmtId="0" fontId="6" fillId="0" borderId="0" xfId="0" applyFont="1" applyAlignment="1">
      <alignment horizontal="center"/>
    </xf>
    <xf numFmtId="0" fontId="6" fillId="0" borderId="17" xfId="0" applyFont="1" applyFill="1" applyBorder="1" applyAlignment="1">
      <alignment horizontal="right" vertical="center" wrapText="1"/>
    </xf>
    <xf numFmtId="0" fontId="7" fillId="0" borderId="17" xfId="1" applyNumberFormat="1" applyFont="1" applyFill="1" applyBorder="1" applyAlignment="1">
      <alignment horizontal="center" vertical="center" wrapText="1"/>
    </xf>
    <xf numFmtId="1" fontId="6" fillId="5" borderId="10" xfId="0" applyNumberFormat="1"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24" xfId="0" applyFont="1" applyFill="1" applyBorder="1" applyAlignment="1">
      <alignment horizontal="right" vertical="center" wrapText="1"/>
    </xf>
    <xf numFmtId="0" fontId="6" fillId="0" borderId="17" xfId="0"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Alignment="1">
      <alignment vertical="top" wrapText="1"/>
    </xf>
    <xf numFmtId="0" fontId="6" fillId="0" borderId="17" xfId="0" applyNumberFormat="1" applyFont="1" applyBorder="1" applyAlignment="1">
      <alignment horizontal="center" vertical="center"/>
    </xf>
    <xf numFmtId="0" fontId="6" fillId="0" borderId="17" xfId="0" applyNumberFormat="1" applyFont="1" applyBorder="1" applyAlignment="1">
      <alignment vertical="center"/>
    </xf>
    <xf numFmtId="0" fontId="14" fillId="0" borderId="20" xfId="0"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0" fontId="14" fillId="12" borderId="20" xfId="0" applyNumberFormat="1" applyFont="1" applyFill="1" applyBorder="1" applyAlignment="1">
      <alignment horizontal="center" vertical="center" wrapText="1"/>
    </xf>
    <xf numFmtId="1" fontId="14" fillId="5" borderId="21"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1" fontId="14" fillId="0" borderId="17" xfId="0" applyNumberFormat="1" applyFont="1" applyBorder="1" applyAlignment="1">
      <alignment horizontal="center" vertical="center"/>
    </xf>
    <xf numFmtId="1" fontId="14" fillId="5" borderId="16" xfId="0" applyNumberFormat="1" applyFont="1" applyFill="1" applyBorder="1" applyAlignment="1">
      <alignment horizontal="center" vertical="center" wrapText="1"/>
    </xf>
    <xf numFmtId="9" fontId="14" fillId="0" borderId="12" xfId="1" applyFont="1" applyFill="1" applyBorder="1" applyAlignment="1">
      <alignment horizontal="center" vertical="center" wrapText="1"/>
    </xf>
    <xf numFmtId="1" fontId="14" fillId="0" borderId="12" xfId="0" applyNumberFormat="1" applyFont="1" applyFill="1" applyBorder="1" applyAlignment="1">
      <alignment horizontal="center" vertical="center" wrapText="1"/>
    </xf>
    <xf numFmtId="9" fontId="14" fillId="0" borderId="12" xfId="1" applyFont="1" applyBorder="1" applyAlignment="1">
      <alignment horizontal="center" vertical="center"/>
    </xf>
    <xf numFmtId="1" fontId="14" fillId="0" borderId="12" xfId="0" applyNumberFormat="1" applyFont="1" applyBorder="1" applyAlignment="1">
      <alignment horizontal="center" vertical="center"/>
    </xf>
    <xf numFmtId="9" fontId="15" fillId="0" borderId="8" xfId="0" applyNumberFormat="1" applyFont="1" applyFill="1" applyBorder="1" applyAlignment="1">
      <alignment horizontal="center" vertical="center" wrapText="1"/>
    </xf>
    <xf numFmtId="1" fontId="14" fillId="5" borderId="13" xfId="0" quotePrefix="1" applyNumberFormat="1" applyFont="1" applyFill="1" applyBorder="1" applyAlignment="1">
      <alignment horizontal="center" vertical="center" wrapText="1"/>
    </xf>
    <xf numFmtId="10" fontId="16" fillId="0" borderId="8" xfId="1" applyNumberFormat="1" applyFont="1" applyFill="1" applyBorder="1" applyAlignment="1">
      <alignment horizontal="center" vertical="center" wrapText="1"/>
    </xf>
    <xf numFmtId="0" fontId="14" fillId="0" borderId="8" xfId="0" quotePrefix="1" applyFont="1" applyFill="1" applyBorder="1" applyAlignment="1">
      <alignment horizontal="center" vertical="center" wrapText="1"/>
    </xf>
    <xf numFmtId="1" fontId="14" fillId="0" borderId="8" xfId="0" quotePrefix="1" applyNumberFormat="1" applyFont="1" applyFill="1" applyBorder="1" applyAlignment="1">
      <alignment horizontal="center" vertical="center" wrapText="1"/>
    </xf>
    <xf numFmtId="10" fontId="14" fillId="0" borderId="8" xfId="0" quotePrefix="1" applyNumberFormat="1" applyFont="1" applyFill="1" applyBorder="1" applyAlignment="1">
      <alignment horizontal="center" vertical="center" wrapText="1"/>
    </xf>
    <xf numFmtId="0" fontId="14" fillId="0" borderId="8" xfId="1" quotePrefix="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10" fontId="16" fillId="0" borderId="17" xfId="1" applyNumberFormat="1" applyFont="1" applyFill="1" applyBorder="1" applyAlignment="1">
      <alignment horizontal="center" vertical="center" wrapText="1"/>
    </xf>
    <xf numFmtId="10" fontId="16" fillId="9" borderId="17" xfId="0" applyNumberFormat="1" applyFont="1" applyFill="1" applyBorder="1" applyAlignment="1">
      <alignment horizontal="center" vertical="center" wrapText="1"/>
    </xf>
    <xf numFmtId="164" fontId="14" fillId="0" borderId="17" xfId="0" applyNumberFormat="1" applyFont="1" applyFill="1" applyBorder="1" applyAlignment="1">
      <alignment horizontal="center" vertical="center" wrapText="1"/>
    </xf>
    <xf numFmtId="10" fontId="14" fillId="13" borderId="17" xfId="1" applyNumberFormat="1" applyFont="1" applyFill="1" applyBorder="1" applyAlignment="1">
      <alignment horizontal="center" vertical="center" wrapText="1"/>
    </xf>
    <xf numFmtId="164" fontId="14" fillId="5" borderId="16" xfId="0" applyNumberFormat="1" applyFont="1" applyFill="1" applyBorder="1" applyAlignment="1">
      <alignment horizontal="center" vertical="center" wrapText="1"/>
    </xf>
    <xf numFmtId="10" fontId="16" fillId="0" borderId="33" xfId="1" applyNumberFormat="1" applyFont="1" applyFill="1" applyBorder="1" applyAlignment="1">
      <alignment horizontal="center" vertical="center" wrapText="1"/>
    </xf>
    <xf numFmtId="10" fontId="16" fillId="9" borderId="33" xfId="0" applyNumberFormat="1" applyFont="1" applyFill="1" applyBorder="1" applyAlignment="1">
      <alignment horizontal="center" vertical="center" wrapText="1"/>
    </xf>
    <xf numFmtId="10" fontId="14" fillId="0" borderId="33" xfId="0" applyNumberFormat="1" applyFont="1" applyFill="1" applyBorder="1" applyAlignment="1">
      <alignment horizontal="center" vertical="center" wrapText="1"/>
    </xf>
    <xf numFmtId="164" fontId="14" fillId="0" borderId="33" xfId="0" applyNumberFormat="1" applyFont="1" applyFill="1" applyBorder="1" applyAlignment="1">
      <alignment horizontal="center" vertical="center" wrapText="1"/>
    </xf>
    <xf numFmtId="164" fontId="14" fillId="5" borderId="30" xfId="0" applyNumberFormat="1" applyFont="1" applyFill="1" applyBorder="1" applyAlignment="1">
      <alignment horizontal="center" vertical="center" wrapText="1"/>
    </xf>
    <xf numFmtId="10" fontId="16" fillId="0" borderId="11" xfId="1" applyNumberFormat="1" applyFont="1" applyFill="1" applyBorder="1" applyAlignment="1">
      <alignment horizontal="center" vertical="center" wrapText="1"/>
    </xf>
    <xf numFmtId="164" fontId="16" fillId="0" borderId="8" xfId="1" applyNumberFormat="1" applyFont="1" applyFill="1" applyBorder="1" applyAlignment="1">
      <alignment horizontal="center" vertical="center" wrapText="1"/>
    </xf>
    <xf numFmtId="164" fontId="16" fillId="13" borderId="8" xfId="1" applyNumberFormat="1" applyFont="1" applyFill="1" applyBorder="1" applyAlignment="1">
      <alignment horizontal="center" vertical="center" wrapText="1"/>
    </xf>
    <xf numFmtId="164" fontId="14" fillId="5" borderId="7" xfId="0" applyNumberFormat="1" applyFont="1" applyFill="1" applyBorder="1" applyAlignment="1">
      <alignment horizontal="center" vertical="center" wrapText="1"/>
    </xf>
    <xf numFmtId="10" fontId="16" fillId="0" borderId="36" xfId="1" applyNumberFormat="1" applyFont="1" applyFill="1" applyBorder="1" applyAlignment="1">
      <alignment horizontal="center" vertical="center" wrapText="1"/>
    </xf>
    <xf numFmtId="1" fontId="16" fillId="0" borderId="18" xfId="1" applyNumberFormat="1" applyFont="1" applyFill="1" applyBorder="1" applyAlignment="1">
      <alignment horizontal="center" vertical="center" wrapText="1"/>
    </xf>
    <xf numFmtId="9" fontId="16" fillId="0" borderId="18" xfId="1" applyFont="1" applyFill="1" applyBorder="1" applyAlignment="1">
      <alignment horizontal="center" vertical="center" wrapText="1"/>
    </xf>
    <xf numFmtId="9" fontId="14" fillId="0" borderId="17" xfId="0" applyNumberFormat="1" applyFont="1" applyFill="1" applyBorder="1" applyAlignment="1">
      <alignment horizontal="center" vertical="center" wrapText="1"/>
    </xf>
    <xf numFmtId="10" fontId="16" fillId="0" borderId="29" xfId="1" applyNumberFormat="1" applyFont="1" applyFill="1" applyBorder="1" applyAlignment="1">
      <alignment horizontal="center" vertical="center" wrapText="1"/>
    </xf>
    <xf numFmtId="10" fontId="16" fillId="0" borderId="34" xfId="1" applyNumberFormat="1" applyFont="1" applyFill="1" applyBorder="1" applyAlignment="1">
      <alignment horizontal="center" vertical="center" wrapText="1"/>
    </xf>
    <xf numFmtId="9" fontId="14" fillId="0" borderId="24" xfId="0" applyNumberFormat="1" applyFont="1" applyFill="1" applyBorder="1" applyAlignment="1">
      <alignment horizontal="center" vertical="center" wrapText="1"/>
    </xf>
    <xf numFmtId="164" fontId="14" fillId="5" borderId="13"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164" fontId="16" fillId="0" borderId="18" xfId="1" applyNumberFormat="1" applyFont="1" applyFill="1" applyBorder="1" applyAlignment="1">
      <alignment horizontal="center" vertical="center" wrapText="1"/>
    </xf>
    <xf numFmtId="164" fontId="16" fillId="14" borderId="18" xfId="1" applyNumberFormat="1" applyFont="1" applyFill="1" applyBorder="1" applyAlignment="1">
      <alignment horizontal="center" vertical="center" wrapText="1"/>
    </xf>
    <xf numFmtId="9" fontId="14" fillId="5" borderId="30" xfId="0" applyNumberFormat="1" applyFont="1" applyFill="1" applyBorder="1" applyAlignment="1">
      <alignment horizontal="center" vertical="center" wrapText="1"/>
    </xf>
    <xf numFmtId="1" fontId="16" fillId="0" borderId="18" xfId="0" applyNumberFormat="1" applyFont="1" applyFill="1" applyBorder="1" applyAlignment="1">
      <alignment horizontal="center" vertical="center" wrapText="1"/>
    </xf>
    <xf numFmtId="1" fontId="17" fillId="0" borderId="18" xfId="0" applyNumberFormat="1" applyFont="1" applyFill="1" applyBorder="1" applyAlignment="1">
      <alignment horizontal="center" vertical="center" wrapText="1"/>
    </xf>
    <xf numFmtId="9" fontId="17" fillId="0" borderId="18" xfId="1" applyFont="1" applyFill="1" applyBorder="1" applyAlignment="1">
      <alignment horizontal="center" vertical="center" wrapText="1"/>
    </xf>
    <xf numFmtId="3" fontId="16" fillId="0" borderId="18" xfId="0" applyNumberFormat="1" applyFont="1" applyFill="1" applyBorder="1" applyAlignment="1">
      <alignment horizontal="center" vertical="center" wrapText="1"/>
    </xf>
    <xf numFmtId="3" fontId="17" fillId="0" borderId="18"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9" fontId="16" fillId="0" borderId="12" xfId="1" applyFont="1" applyFill="1" applyBorder="1" applyAlignment="1">
      <alignment horizontal="center" vertical="center" wrapText="1"/>
    </xf>
    <xf numFmtId="9" fontId="17" fillId="0" borderId="12" xfId="1" applyFont="1" applyFill="1" applyBorder="1" applyAlignment="1">
      <alignment horizontal="center" vertical="center" wrapText="1"/>
    </xf>
    <xf numFmtId="9" fontId="14" fillId="5" borderId="13" xfId="0" applyNumberFormat="1" applyFont="1" applyFill="1" applyBorder="1" applyAlignment="1">
      <alignment horizontal="center" vertical="center" wrapText="1"/>
    </xf>
    <xf numFmtId="9" fontId="14" fillId="0" borderId="8" xfId="0" quotePrefix="1"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6" fillId="0" borderId="17" xfId="1" applyNumberFormat="1" applyFont="1" applyFill="1" applyBorder="1" applyAlignment="1">
      <alignment horizontal="center" vertical="center" wrapText="1"/>
    </xf>
    <xf numFmtId="0" fontId="13" fillId="0" borderId="20" xfId="0" quotePrefix="1"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18" xfId="0" applyFont="1" applyFill="1" applyBorder="1" applyAlignment="1">
      <alignment horizontal="right" vertical="center" wrapText="1"/>
    </xf>
    <xf numFmtId="0" fontId="13" fillId="0" borderId="17" xfId="0" applyFont="1" applyFill="1" applyBorder="1" applyAlignment="1">
      <alignment horizontal="right" vertical="center" wrapText="1"/>
    </xf>
    <xf numFmtId="0" fontId="13" fillId="0" borderId="24" xfId="0" applyFont="1" applyFill="1" applyBorder="1" applyAlignment="1">
      <alignment horizontal="right" vertical="center" wrapText="1"/>
    </xf>
    <xf numFmtId="0" fontId="13" fillId="0" borderId="15" xfId="0" applyFont="1" applyFill="1" applyBorder="1" applyAlignment="1">
      <alignment vertical="center" wrapText="1"/>
    </xf>
    <xf numFmtId="0" fontId="13" fillId="0" borderId="15" xfId="0" applyFont="1" applyFill="1" applyBorder="1" applyAlignment="1">
      <alignment horizontal="right" vertical="center" wrapText="1"/>
    </xf>
    <xf numFmtId="0" fontId="13" fillId="0" borderId="14" xfId="0" applyFont="1" applyFill="1" applyBorder="1" applyAlignment="1">
      <alignment horizontal="right" vertical="center" wrapText="1"/>
    </xf>
    <xf numFmtId="0" fontId="13" fillId="0" borderId="4" xfId="0" applyFont="1" applyFill="1" applyBorder="1" applyAlignment="1">
      <alignment vertical="center" wrapText="1"/>
    </xf>
    <xf numFmtId="0" fontId="12" fillId="0" borderId="19"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2" xfId="0" applyFont="1" applyFill="1" applyBorder="1" applyAlignment="1">
      <alignment horizontal="center" vertical="center" wrapText="1"/>
    </xf>
    <xf numFmtId="9" fontId="14" fillId="5" borderId="9" xfId="0" applyNumberFormat="1" applyFont="1" applyFill="1" applyBorder="1" applyAlignment="1">
      <alignment horizontal="center" vertical="center" wrapText="1"/>
    </xf>
    <xf numFmtId="9" fontId="14" fillId="0" borderId="18" xfId="0" applyNumberFormat="1"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4" xfId="0" applyFont="1" applyFill="1" applyBorder="1" applyAlignment="1">
      <alignment horizontal="center" vertical="center" wrapText="1"/>
    </xf>
    <xf numFmtId="1" fontId="14" fillId="5" borderId="17" xfId="0" applyNumberFormat="1" applyFont="1" applyFill="1" applyBorder="1" applyAlignment="1">
      <alignment horizontal="center" vertical="center" wrapText="1"/>
    </xf>
    <xf numFmtId="1" fontId="6" fillId="5" borderId="17" xfId="0" applyNumberFormat="1" applyFont="1" applyFill="1" applyBorder="1" applyAlignment="1">
      <alignment horizontal="center" vertical="center" wrapText="1"/>
    </xf>
    <xf numFmtId="0" fontId="6" fillId="0" borderId="17" xfId="0" quotePrefix="1" applyNumberFormat="1" applyFont="1" applyBorder="1" applyAlignment="1">
      <alignment horizontal="center" vertical="center"/>
    </xf>
    <xf numFmtId="16" fontId="6" fillId="0" borderId="17" xfId="0" quotePrefix="1" applyNumberFormat="1" applyFont="1" applyBorder="1" applyAlignment="1">
      <alignment horizontal="center" vertical="center"/>
    </xf>
    <xf numFmtId="9" fontId="7" fillId="0" borderId="17" xfId="1" applyNumberFormat="1" applyFont="1" applyFill="1" applyBorder="1" applyAlignment="1">
      <alignment horizontal="center" vertical="center" wrapText="1"/>
    </xf>
    <xf numFmtId="9" fontId="6" fillId="5" borderId="17" xfId="1" applyFont="1" applyFill="1" applyBorder="1" applyAlignment="1">
      <alignment horizontal="center" vertical="center" wrapText="1"/>
    </xf>
    <xf numFmtId="0" fontId="6" fillId="0" borderId="17" xfId="0" applyNumberFormat="1" applyFont="1" applyBorder="1" applyAlignment="1">
      <alignment horizontal="right" vertical="center"/>
    </xf>
    <xf numFmtId="1" fontId="6" fillId="5" borderId="17" xfId="0" applyNumberFormat="1" applyFont="1" applyFill="1" applyBorder="1" applyAlignment="1">
      <alignment horizontal="right" vertical="center" wrapText="1"/>
    </xf>
    <xf numFmtId="0" fontId="8" fillId="11" borderId="23" xfId="0" applyFont="1" applyFill="1" applyBorder="1" applyAlignment="1">
      <alignment vertical="center" textRotation="90" wrapText="1"/>
    </xf>
    <xf numFmtId="0" fontId="8" fillId="11" borderId="26" xfId="0" applyFont="1" applyFill="1" applyBorder="1" applyAlignment="1">
      <alignment vertical="center" textRotation="90" wrapText="1"/>
    </xf>
    <xf numFmtId="0" fontId="6" fillId="0" borderId="17" xfId="0" applyFont="1" applyFill="1" applyBorder="1" applyAlignment="1">
      <alignment vertical="center" wrapText="1"/>
    </xf>
    <xf numFmtId="0" fontId="18" fillId="0" borderId="0" xfId="0" applyFont="1"/>
    <xf numFmtId="165" fontId="6" fillId="0" borderId="24" xfId="0" applyNumberFormat="1" applyFont="1" applyBorder="1" applyAlignment="1">
      <alignment horizontal="center"/>
    </xf>
    <xf numFmtId="0" fontId="0" fillId="0" borderId="0" xfId="0" applyAlignment="1">
      <alignment wrapText="1"/>
    </xf>
    <xf numFmtId="0" fontId="19" fillId="0" borderId="0" xfId="2"/>
    <xf numFmtId="0" fontId="19" fillId="0" borderId="0" xfId="2" applyAlignment="1">
      <alignment wrapText="1"/>
    </xf>
    <xf numFmtId="9" fontId="14" fillId="13" borderId="8" xfId="1" quotePrefix="1" applyNumberFormat="1" applyFont="1" applyFill="1" applyBorder="1" applyAlignment="1">
      <alignment horizontal="center" vertical="center" wrapText="1"/>
    </xf>
    <xf numFmtId="9" fontId="7" fillId="0" borderId="17" xfId="1"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left" vertical="top" wrapText="1"/>
    </xf>
    <xf numFmtId="0" fontId="0" fillId="5" borderId="17" xfId="0" applyFill="1" applyBorder="1" applyAlignment="1">
      <alignment horizontal="center" vertical="top" wrapText="1"/>
    </xf>
    <xf numFmtId="0" fontId="0" fillId="5" borderId="22" xfId="0" applyFill="1" applyBorder="1" applyAlignment="1">
      <alignment horizontal="center"/>
    </xf>
    <xf numFmtId="0" fontId="0" fillId="5" borderId="0" xfId="0" applyFill="1" applyBorder="1" applyAlignment="1">
      <alignment horizontal="center"/>
    </xf>
    <xf numFmtId="0" fontId="0" fillId="10" borderId="17" xfId="0" applyFill="1" applyBorder="1" applyAlignment="1">
      <alignment horizontal="center" vertical="top" wrapText="1"/>
    </xf>
    <xf numFmtId="0" fontId="0" fillId="10" borderId="17" xfId="0" applyFill="1" applyBorder="1" applyAlignment="1">
      <alignment horizontal="center"/>
    </xf>
    <xf numFmtId="0" fontId="20" fillId="4" borderId="1" xfId="0" applyFont="1" applyFill="1" applyBorder="1" applyAlignment="1">
      <alignment horizontal="center" vertical="center" textRotation="90" wrapText="1"/>
    </xf>
    <xf numFmtId="0" fontId="20" fillId="7" borderId="23" xfId="0" applyFont="1" applyFill="1" applyBorder="1" applyAlignment="1">
      <alignment horizontal="center" vertical="center" textRotation="90" wrapText="1"/>
    </xf>
    <xf numFmtId="0" fontId="20" fillId="7" borderId="26" xfId="0" applyFont="1" applyFill="1" applyBorder="1" applyAlignment="1">
      <alignment horizontal="center" vertical="center" textRotation="90" wrapText="1"/>
    </xf>
    <xf numFmtId="0" fontId="20" fillId="8" borderId="27" xfId="0" applyFont="1" applyFill="1" applyBorder="1" applyAlignment="1">
      <alignment horizontal="center" vertical="center" textRotation="90" wrapText="1"/>
    </xf>
    <xf numFmtId="0" fontId="20" fillId="8" borderId="23" xfId="0" applyFont="1" applyFill="1" applyBorder="1" applyAlignment="1">
      <alignment horizontal="center" vertical="center" textRotation="90" wrapText="1"/>
    </xf>
    <xf numFmtId="0" fontId="20" fillId="8" borderId="28" xfId="0" applyFont="1" applyFill="1" applyBorder="1" applyAlignment="1">
      <alignment horizontal="center" vertical="center" textRotation="90" wrapText="1"/>
    </xf>
    <xf numFmtId="0" fontId="20" fillId="6" borderId="35" xfId="0" applyFont="1" applyFill="1" applyBorder="1" applyAlignment="1">
      <alignment horizontal="center" vertical="center" textRotation="90" wrapText="1"/>
    </xf>
    <xf numFmtId="0" fontId="20" fillId="6" borderId="31" xfId="0" applyFont="1" applyFill="1" applyBorder="1" applyAlignment="1">
      <alignment horizontal="center" vertical="center" textRotation="90"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9C9"/>
      <color rgb="FFFEB7A4"/>
      <color rgb="FFFEBFBA"/>
      <color rgb="FFFDC1BB"/>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s/Administration/True%20North%20Metrics%20&amp;%20Division%20Dashboards/Division%20Dashboards/FY23/Department%20Dashboards/Team%20Member%20Services%20Department%20Dashboard%20-%20FY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Administration/True%20North%20Metrics%20&amp;%20Division%20Dashboards/FY23%20True%20North%20Metrics%20&amp;%20Aims/True%20North%20FY23%20FINAL%207.1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al Dashboard"/>
      <sheetName val="Division Dashboard"/>
      <sheetName val="Sheet1"/>
    </sheetNames>
    <sheetDataSet>
      <sheetData sheetId="0">
        <row r="7">
          <cell r="H7">
            <v>0.1480865224625624</v>
          </cell>
          <cell r="I7">
            <v>0.14827586206896551</v>
          </cell>
          <cell r="J7">
            <v>0.14160839160839161</v>
          </cell>
        </row>
        <row r="8">
          <cell r="H8">
            <v>0.17781796262808922</v>
          </cell>
          <cell r="I8">
            <v>0.17219541616405307</v>
          </cell>
          <cell r="J8">
            <v>0.17135937026945203</v>
          </cell>
        </row>
        <row r="10">
          <cell r="H10">
            <v>0.10576923076923077</v>
          </cell>
          <cell r="I10">
            <v>0.107981220657277</v>
          </cell>
          <cell r="J10">
            <v>0.10426540284360189</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
      <sheetName val="Health"/>
      <sheetName val="Healthcare"/>
      <sheetName val="Joy at Work"/>
      <sheetName val="Affordability"/>
      <sheetName val="Finance Dashboard"/>
      <sheetName val="Turnover"/>
    </sheetNames>
    <sheetDataSet>
      <sheetData sheetId="0" refreshError="1"/>
      <sheetData sheetId="1">
        <row r="3">
          <cell r="H3">
            <v>6.0000000000000053E-2</v>
          </cell>
          <cell r="I3">
            <v>5.7000000000000002E-2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viz.meritushealth.com/PbiReports/powerbi/HospitalApp?rs:embed=true&amp;filter=pbi_x0020_HospitalAppPageNavigation%2FPageName%20eq%20%27Health%20Equity%20Provider%20ED%20Throughput%27" TargetMode="External"/><Relationship Id="rId1" Type="http://schemas.openxmlformats.org/officeDocument/2006/relationships/hyperlink" Target="https://dataviz.meritushealth.com/PbiReports/powerbi/DiabetesApp?rs:embed=true&amp;filter=PageName%20eq%20%27True%20North%20Diabetes%20Management%2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zoomScale="50" zoomScaleNormal="50" workbookViewId="0">
      <pane ySplit="2" topLeftCell="A3" activePane="bottomLeft" state="frozen"/>
      <selection pane="bottomLeft" activeCell="V31" sqref="V31"/>
    </sheetView>
  </sheetViews>
  <sheetFormatPr defaultRowHeight="23.25" x14ac:dyDescent="0.35"/>
  <cols>
    <col min="1" max="1" width="17.28515625" customWidth="1"/>
    <col min="2" max="2" width="37.140625" customWidth="1"/>
    <col min="3" max="3" width="85.5703125" customWidth="1"/>
    <col min="4" max="4" width="34.28515625" hidden="1" customWidth="1"/>
    <col min="5" max="5" width="23.85546875" customWidth="1"/>
    <col min="6" max="6" width="15.28515625" style="27" bestFit="1" customWidth="1"/>
    <col min="7" max="7" width="15.28515625" style="6" bestFit="1" customWidth="1"/>
    <col min="8" max="8" width="13" style="6" bestFit="1" customWidth="1"/>
    <col min="9" max="9" width="13" style="27" bestFit="1" customWidth="1"/>
    <col min="10" max="10" width="13" style="6" bestFit="1" customWidth="1"/>
    <col min="11" max="12" width="13" style="27" bestFit="1" customWidth="1"/>
    <col min="13" max="15" width="13" style="6" bestFit="1" customWidth="1"/>
    <col min="16" max="16" width="15.28515625" style="27" bestFit="1" customWidth="1"/>
    <col min="17" max="17" width="15.5703125" style="6" hidden="1" customWidth="1"/>
    <col min="18" max="18" width="15.28515625" style="6" bestFit="1" customWidth="1"/>
    <col min="19" max="19" width="18.7109375" style="6" customWidth="1"/>
    <col min="20" max="20" width="56.5703125" bestFit="1" customWidth="1"/>
    <col min="21" max="21" width="16.7109375" bestFit="1" customWidth="1"/>
  </cols>
  <sheetData>
    <row r="1" spans="1:19" ht="62.25" thickBot="1" x14ac:dyDescent="0.95">
      <c r="A1" s="140" t="s">
        <v>48</v>
      </c>
      <c r="B1" s="141"/>
      <c r="C1" s="141"/>
      <c r="D1" s="141"/>
      <c r="E1" s="141"/>
      <c r="F1" s="141"/>
      <c r="G1" s="141"/>
      <c r="H1" s="141"/>
      <c r="I1" s="141"/>
      <c r="J1" s="141"/>
      <c r="K1" s="141"/>
      <c r="L1" s="141"/>
      <c r="M1" s="141"/>
      <c r="N1" s="141"/>
      <c r="O1" s="141"/>
      <c r="P1" s="141"/>
      <c r="Q1" s="141"/>
      <c r="R1" s="141"/>
      <c r="S1" s="142"/>
    </row>
    <row r="2" spans="1:19" ht="52.5" customHeight="1" thickBot="1" x14ac:dyDescent="0.3">
      <c r="A2" s="11" t="s">
        <v>3</v>
      </c>
      <c r="B2" s="1" t="s">
        <v>0</v>
      </c>
      <c r="C2" s="1" t="s">
        <v>1</v>
      </c>
      <c r="D2" s="1" t="s">
        <v>59</v>
      </c>
      <c r="E2" s="1" t="s">
        <v>44</v>
      </c>
      <c r="F2" s="2">
        <v>44762</v>
      </c>
      <c r="G2" s="2">
        <f>F2+30</f>
        <v>44792</v>
      </c>
      <c r="H2" s="2">
        <f t="shared" ref="H2:Q2" si="0">G2+30</f>
        <v>44822</v>
      </c>
      <c r="I2" s="2">
        <f t="shared" si="0"/>
        <v>44852</v>
      </c>
      <c r="J2" s="2">
        <f t="shared" si="0"/>
        <v>44882</v>
      </c>
      <c r="K2" s="2">
        <f t="shared" si="0"/>
        <v>44912</v>
      </c>
      <c r="L2" s="2">
        <f t="shared" si="0"/>
        <v>44942</v>
      </c>
      <c r="M2" s="2">
        <f t="shared" si="0"/>
        <v>44972</v>
      </c>
      <c r="N2" s="2">
        <f t="shared" si="0"/>
        <v>45002</v>
      </c>
      <c r="O2" s="2">
        <f t="shared" si="0"/>
        <v>45032</v>
      </c>
      <c r="P2" s="2">
        <f t="shared" si="0"/>
        <v>45062</v>
      </c>
      <c r="Q2" s="2">
        <f t="shared" si="0"/>
        <v>45092</v>
      </c>
      <c r="R2" s="3" t="s">
        <v>10</v>
      </c>
      <c r="S2" s="4" t="s">
        <v>45</v>
      </c>
    </row>
    <row r="3" spans="1:19" ht="95.25" customHeight="1" thickBot="1" x14ac:dyDescent="0.3">
      <c r="A3" s="158" t="s">
        <v>2</v>
      </c>
      <c r="B3" s="112" t="s">
        <v>9</v>
      </c>
      <c r="C3" s="99" t="s">
        <v>42</v>
      </c>
      <c r="D3" s="7" t="s">
        <v>60</v>
      </c>
      <c r="E3" s="40" t="s">
        <v>43</v>
      </c>
      <c r="F3" s="41">
        <v>0</v>
      </c>
      <c r="G3" s="41">
        <v>1</v>
      </c>
      <c r="H3" s="41">
        <v>2</v>
      </c>
      <c r="I3" s="41">
        <v>0</v>
      </c>
      <c r="J3" s="41">
        <v>0</v>
      </c>
      <c r="K3" s="41">
        <v>0</v>
      </c>
      <c r="L3" s="41">
        <v>3</v>
      </c>
      <c r="M3" s="41">
        <v>0</v>
      </c>
      <c r="N3" s="41">
        <v>1</v>
      </c>
      <c r="O3" s="41">
        <v>2</v>
      </c>
      <c r="P3" s="41">
        <v>0</v>
      </c>
      <c r="Q3" s="41"/>
      <c r="R3" s="42">
        <f>SUM(F3:Q3)</f>
        <v>9</v>
      </c>
      <c r="S3" s="43">
        <v>10</v>
      </c>
    </row>
    <row r="4" spans="1:19" ht="89.25" customHeight="1" thickBot="1" x14ac:dyDescent="0.3">
      <c r="A4" s="159" t="s">
        <v>4</v>
      </c>
      <c r="B4" s="113" t="s">
        <v>11</v>
      </c>
      <c r="C4" s="100" t="s">
        <v>12</v>
      </c>
      <c r="D4" s="9" t="s">
        <v>61</v>
      </c>
      <c r="E4" s="44">
        <v>10</v>
      </c>
      <c r="F4" s="44">
        <v>0</v>
      </c>
      <c r="G4" s="44">
        <v>1</v>
      </c>
      <c r="H4" s="44">
        <v>1</v>
      </c>
      <c r="I4" s="44">
        <v>0</v>
      </c>
      <c r="J4" s="44">
        <v>1</v>
      </c>
      <c r="K4" s="44">
        <v>2</v>
      </c>
      <c r="L4" s="44">
        <v>1</v>
      </c>
      <c r="M4" s="45">
        <v>1</v>
      </c>
      <c r="N4" s="45">
        <v>1</v>
      </c>
      <c r="O4" s="45">
        <v>0</v>
      </c>
      <c r="P4" s="45">
        <v>1</v>
      </c>
      <c r="Q4" s="45"/>
      <c r="R4" s="42">
        <f>SUM(F4:Q4)</f>
        <v>9</v>
      </c>
      <c r="S4" s="46">
        <v>10</v>
      </c>
    </row>
    <row r="5" spans="1:19" ht="103.5" hidden="1" customHeight="1" thickBot="1" x14ac:dyDescent="0.3">
      <c r="A5" s="160"/>
      <c r="B5" s="114" t="s">
        <v>13</v>
      </c>
      <c r="C5" s="101" t="s">
        <v>14</v>
      </c>
      <c r="D5" s="10" t="s">
        <v>62</v>
      </c>
      <c r="E5" s="47">
        <v>0.8</v>
      </c>
      <c r="F5" s="48" t="s">
        <v>15</v>
      </c>
      <c r="G5" s="48" t="s">
        <v>15</v>
      </c>
      <c r="H5" s="48" t="s">
        <v>15</v>
      </c>
      <c r="I5" s="48" t="s">
        <v>15</v>
      </c>
      <c r="J5" s="48" t="s">
        <v>15</v>
      </c>
      <c r="K5" s="48" t="s">
        <v>15</v>
      </c>
      <c r="L5" s="48" t="s">
        <v>19</v>
      </c>
      <c r="M5" s="49" t="s">
        <v>19</v>
      </c>
      <c r="N5" s="49" t="s">
        <v>15</v>
      </c>
      <c r="O5" s="50" t="s">
        <v>15</v>
      </c>
      <c r="P5" s="50" t="s">
        <v>15</v>
      </c>
      <c r="Q5" s="50"/>
      <c r="R5" s="51">
        <v>0.8</v>
      </c>
      <c r="S5" s="52" t="s">
        <v>46</v>
      </c>
    </row>
    <row r="6" spans="1:19" ht="31.5" x14ac:dyDescent="0.25">
      <c r="A6" s="161" t="s">
        <v>7</v>
      </c>
      <c r="B6" s="115" t="s">
        <v>5</v>
      </c>
      <c r="C6" s="102" t="s">
        <v>8</v>
      </c>
      <c r="D6" s="8" t="s">
        <v>63</v>
      </c>
      <c r="E6" s="53">
        <v>0.90910000000000002</v>
      </c>
      <c r="F6" s="54" t="s">
        <v>70</v>
      </c>
      <c r="G6" s="55" t="s">
        <v>78</v>
      </c>
      <c r="H6" s="55" t="s">
        <v>79</v>
      </c>
      <c r="I6" s="56" t="s">
        <v>139</v>
      </c>
      <c r="J6" s="56" t="s">
        <v>70</v>
      </c>
      <c r="K6" s="56" t="s">
        <v>140</v>
      </c>
      <c r="L6" s="56" t="s">
        <v>141</v>
      </c>
      <c r="M6" s="56" t="s">
        <v>141</v>
      </c>
      <c r="N6" s="57" t="s">
        <v>78</v>
      </c>
      <c r="O6" s="56" t="s">
        <v>140</v>
      </c>
      <c r="P6" s="56" t="s">
        <v>141</v>
      </c>
      <c r="Q6" s="58"/>
      <c r="R6" s="138">
        <f>16/18</f>
        <v>0.88888888888888884</v>
      </c>
      <c r="S6" s="118">
        <v>0.9</v>
      </c>
    </row>
    <row r="7" spans="1:19" ht="69.95" customHeight="1" x14ac:dyDescent="0.25">
      <c r="A7" s="162"/>
      <c r="B7" s="113" t="s">
        <v>16</v>
      </c>
      <c r="C7" s="100" t="s">
        <v>67</v>
      </c>
      <c r="D7" s="9" t="s">
        <v>63</v>
      </c>
      <c r="E7" s="59">
        <v>0.15920000000000001</v>
      </c>
      <c r="F7" s="60">
        <v>0.1633</v>
      </c>
      <c r="G7" s="60">
        <v>0.1762</v>
      </c>
      <c r="H7" s="61">
        <v>0.1757</v>
      </c>
      <c r="I7" s="61">
        <f>'[1]Organizational Dashboard'!$H$8</f>
        <v>0.17781796262808922</v>
      </c>
      <c r="J7" s="61">
        <f>'[1]Organizational Dashboard'!$I$8</f>
        <v>0.17219541616405307</v>
      </c>
      <c r="K7" s="61">
        <f>'[1]Organizational Dashboard'!$J$8</f>
        <v>0.17135937026945203</v>
      </c>
      <c r="L7" s="61">
        <v>0.17399999999999999</v>
      </c>
      <c r="M7" s="61">
        <v>0.1749</v>
      </c>
      <c r="N7" s="61">
        <v>0.182</v>
      </c>
      <c r="O7" s="61">
        <v>0.182</v>
      </c>
      <c r="P7" s="61">
        <v>0.17599999999999999</v>
      </c>
      <c r="Q7" s="61">
        <f>'[1]Organizational Dashboard'!$J$8</f>
        <v>0.17135937026945203</v>
      </c>
      <c r="R7" s="62">
        <f>P7</f>
        <v>0.17599999999999999</v>
      </c>
      <c r="S7" s="63">
        <v>0.24</v>
      </c>
    </row>
    <row r="8" spans="1:19" ht="93" customHeight="1" x14ac:dyDescent="0.25">
      <c r="A8" s="162"/>
      <c r="B8" s="116" t="s">
        <v>6</v>
      </c>
      <c r="C8" s="103" t="s">
        <v>68</v>
      </c>
      <c r="D8" s="31" t="s">
        <v>63</v>
      </c>
      <c r="E8" s="64">
        <v>0.10100000000000001</v>
      </c>
      <c r="F8" s="65">
        <v>0.11169999999999999</v>
      </c>
      <c r="G8" s="66">
        <v>0.10630000000000001</v>
      </c>
      <c r="H8" s="67">
        <v>0.1019</v>
      </c>
      <c r="I8" s="67">
        <f>'[1]Organizational Dashboard'!$H$10</f>
        <v>0.10576923076923077</v>
      </c>
      <c r="J8" s="67">
        <f>'[1]Organizational Dashboard'!$I$10</f>
        <v>0.107981220657277</v>
      </c>
      <c r="K8" s="67">
        <f>'[1]Organizational Dashboard'!$J$10</f>
        <v>0.10426540284360189</v>
      </c>
      <c r="L8" s="67">
        <v>0.11700000000000001</v>
      </c>
      <c r="M8" s="67">
        <v>0.11269999999999999</v>
      </c>
      <c r="N8" s="67">
        <v>0.125</v>
      </c>
      <c r="O8" s="67">
        <v>0.13</v>
      </c>
      <c r="P8" s="66">
        <v>0.124</v>
      </c>
      <c r="Q8" s="66"/>
      <c r="R8" s="62">
        <f>P8</f>
        <v>0.124</v>
      </c>
      <c r="S8" s="68">
        <v>0.24</v>
      </c>
    </row>
    <row r="9" spans="1:19" ht="86.25" thickBot="1" x14ac:dyDescent="0.3">
      <c r="A9" s="163"/>
      <c r="B9" s="116" t="s">
        <v>66</v>
      </c>
      <c r="C9" s="103" t="s">
        <v>69</v>
      </c>
      <c r="D9" s="31" t="s">
        <v>63</v>
      </c>
      <c r="E9" s="64">
        <v>0.10100000000000001</v>
      </c>
      <c r="F9" s="65">
        <v>0.14130000000000001</v>
      </c>
      <c r="G9" s="66">
        <v>0.15279999999999999</v>
      </c>
      <c r="H9" s="67">
        <v>0.14940000000000001</v>
      </c>
      <c r="I9" s="67">
        <f>'[1]Organizational Dashboard'!$H$7</f>
        <v>0.1480865224625624</v>
      </c>
      <c r="J9" s="67">
        <f>'[1]Organizational Dashboard'!$I$7</f>
        <v>0.14827586206896551</v>
      </c>
      <c r="K9" s="67">
        <f>'[1]Organizational Dashboard'!$J$7</f>
        <v>0.14160839160839161</v>
      </c>
      <c r="L9" s="67">
        <v>0.14499999999999999</v>
      </c>
      <c r="M9" s="67">
        <v>0.14099999999999999</v>
      </c>
      <c r="N9" s="67">
        <v>0.152</v>
      </c>
      <c r="O9" s="67">
        <v>0.14899999999999999</v>
      </c>
      <c r="P9" s="66">
        <v>0.14599999999999999</v>
      </c>
      <c r="Q9" s="66"/>
      <c r="R9" s="62">
        <f>P9</f>
        <v>0.14599999999999999</v>
      </c>
      <c r="S9" s="68">
        <v>0.24</v>
      </c>
    </row>
    <row r="10" spans="1:19" ht="57.75" thickBot="1" x14ac:dyDescent="0.3">
      <c r="A10" s="164" t="s">
        <v>47</v>
      </c>
      <c r="B10" s="144" t="s">
        <v>49</v>
      </c>
      <c r="C10" s="104" t="s">
        <v>52</v>
      </c>
      <c r="D10" s="146" t="s">
        <v>64</v>
      </c>
      <c r="E10" s="69">
        <v>0.15</v>
      </c>
      <c r="F10" s="70">
        <f t="shared" ref="F10:P10" si="1">F16-F19</f>
        <v>7.8282828282828287E-2</v>
      </c>
      <c r="G10" s="70">
        <f t="shared" si="1"/>
        <v>9.2374213836477925E-2</v>
      </c>
      <c r="H10" s="70">
        <f t="shared" si="1"/>
        <v>7.5538716552214058E-2</v>
      </c>
      <c r="I10" s="70">
        <f t="shared" si="1"/>
        <v>9.6423890657180267E-2</v>
      </c>
      <c r="J10" s="70">
        <f t="shared" si="1"/>
        <v>2.7160493827160459E-2</v>
      </c>
      <c r="K10" s="70">
        <f t="shared" si="1"/>
        <v>7.0707070707070718E-2</v>
      </c>
      <c r="L10" s="70">
        <f t="shared" si="1"/>
        <v>3.8593481989708245E-3</v>
      </c>
      <c r="M10" s="70">
        <f t="shared" si="1"/>
        <v>8.3333333333333315E-2</v>
      </c>
      <c r="N10" s="70">
        <f t="shared" si="1"/>
        <v>0.12639894667544438</v>
      </c>
      <c r="O10" s="70">
        <f t="shared" si="1"/>
        <v>0.15528396836808045</v>
      </c>
      <c r="P10" s="70">
        <f t="shared" si="1"/>
        <v>4.5351473922902508E-2</v>
      </c>
      <c r="Q10" s="70"/>
      <c r="R10" s="71">
        <f>R16-R19</f>
        <v>7.5619709377671207E-2</v>
      </c>
      <c r="S10" s="72">
        <v>3.5000000000000003E-2</v>
      </c>
    </row>
    <row r="11" spans="1:19" ht="69.95" hidden="1" customHeight="1" x14ac:dyDescent="0.25">
      <c r="A11" s="165"/>
      <c r="B11" s="143"/>
      <c r="C11" s="105" t="s">
        <v>97</v>
      </c>
      <c r="D11" s="147"/>
      <c r="E11" s="73"/>
      <c r="F11" s="74">
        <v>135</v>
      </c>
      <c r="G11" s="74">
        <v>154</v>
      </c>
      <c r="H11" s="74">
        <v>143</v>
      </c>
      <c r="I11" s="74">
        <v>158</v>
      </c>
      <c r="J11" s="74">
        <v>141</v>
      </c>
      <c r="K11" s="74">
        <v>145</v>
      </c>
      <c r="L11" s="74">
        <v>150</v>
      </c>
      <c r="M11" s="74">
        <v>138</v>
      </c>
      <c r="N11" s="74">
        <v>129</v>
      </c>
      <c r="O11" s="74">
        <v>133</v>
      </c>
      <c r="P11" s="74">
        <v>134</v>
      </c>
      <c r="Q11" s="75"/>
      <c r="R11" s="44">
        <f>SUM(F11:Q11)</f>
        <v>1560</v>
      </c>
      <c r="S11" s="68"/>
    </row>
    <row r="12" spans="1:19" ht="69.95" hidden="1" customHeight="1" x14ac:dyDescent="0.25">
      <c r="A12" s="165"/>
      <c r="B12" s="143"/>
      <c r="C12" s="105" t="s">
        <v>98</v>
      </c>
      <c r="D12" s="147"/>
      <c r="E12" s="73"/>
      <c r="F12" s="74">
        <v>64</v>
      </c>
      <c r="G12" s="74">
        <v>90</v>
      </c>
      <c r="H12" s="74">
        <v>72</v>
      </c>
      <c r="I12" s="74">
        <v>75</v>
      </c>
      <c r="J12" s="74">
        <v>68</v>
      </c>
      <c r="K12" s="74">
        <v>67</v>
      </c>
      <c r="L12" s="74">
        <v>72</v>
      </c>
      <c r="M12" s="74">
        <v>66</v>
      </c>
      <c r="N12" s="74">
        <v>54</v>
      </c>
      <c r="O12" s="74">
        <v>78</v>
      </c>
      <c r="P12" s="74">
        <v>64</v>
      </c>
      <c r="Q12" s="75"/>
      <c r="R12" s="44">
        <f>SUM(F12:Q12)</f>
        <v>770</v>
      </c>
      <c r="S12" s="68"/>
    </row>
    <row r="13" spans="1:19" ht="69.95" hidden="1" customHeight="1" x14ac:dyDescent="0.25">
      <c r="A13" s="165"/>
      <c r="B13" s="143"/>
      <c r="C13" s="105" t="s">
        <v>99</v>
      </c>
      <c r="D13" s="147"/>
      <c r="E13" s="73"/>
      <c r="F13" s="76">
        <f t="shared" ref="F13:P13" si="2">F12/F11</f>
        <v>0.47407407407407409</v>
      </c>
      <c r="G13" s="76">
        <f t="shared" si="2"/>
        <v>0.58441558441558439</v>
      </c>
      <c r="H13" s="76">
        <f t="shared" si="2"/>
        <v>0.50349650349650354</v>
      </c>
      <c r="I13" s="76">
        <f t="shared" si="2"/>
        <v>0.47468354430379744</v>
      </c>
      <c r="J13" s="76">
        <f t="shared" si="2"/>
        <v>0.48226950354609927</v>
      </c>
      <c r="K13" s="76">
        <f t="shared" si="2"/>
        <v>0.46206896551724136</v>
      </c>
      <c r="L13" s="76">
        <f t="shared" si="2"/>
        <v>0.48</v>
      </c>
      <c r="M13" s="76">
        <f t="shared" si="2"/>
        <v>0.47826086956521741</v>
      </c>
      <c r="N13" s="76">
        <f t="shared" si="2"/>
        <v>0.41860465116279072</v>
      </c>
      <c r="O13" s="76">
        <f t="shared" si="2"/>
        <v>0.5864661654135338</v>
      </c>
      <c r="P13" s="76">
        <f t="shared" si="2"/>
        <v>0.47761194029850745</v>
      </c>
      <c r="Q13" s="75"/>
      <c r="R13" s="76">
        <f>R12/R11</f>
        <v>0.49358974358974361</v>
      </c>
      <c r="S13" s="68"/>
    </row>
    <row r="14" spans="1:19" ht="69.95" hidden="1" customHeight="1" x14ac:dyDescent="0.25">
      <c r="A14" s="165"/>
      <c r="B14" s="143"/>
      <c r="C14" s="106" t="s">
        <v>53</v>
      </c>
      <c r="D14" s="147"/>
      <c r="E14" s="77"/>
      <c r="F14" s="44">
        <v>99</v>
      </c>
      <c r="G14" s="44">
        <v>106</v>
      </c>
      <c r="H14" s="44">
        <v>103</v>
      </c>
      <c r="I14" s="44">
        <v>109</v>
      </c>
      <c r="J14" s="44">
        <v>81</v>
      </c>
      <c r="K14" s="44">
        <v>90</v>
      </c>
      <c r="L14" s="44">
        <v>106</v>
      </c>
      <c r="M14" s="44">
        <v>102</v>
      </c>
      <c r="N14" s="44">
        <v>98</v>
      </c>
      <c r="O14" s="44">
        <v>107</v>
      </c>
      <c r="P14" s="44">
        <v>98</v>
      </c>
      <c r="Q14" s="44"/>
      <c r="R14" s="44">
        <f>SUM(F14:Q14)</f>
        <v>1099</v>
      </c>
      <c r="S14" s="68"/>
    </row>
    <row r="15" spans="1:19" ht="69.95" hidden="1" customHeight="1" x14ac:dyDescent="0.25">
      <c r="A15" s="165"/>
      <c r="B15" s="143"/>
      <c r="C15" s="106" t="s">
        <v>54</v>
      </c>
      <c r="D15" s="147"/>
      <c r="E15" s="77"/>
      <c r="F15" s="44">
        <v>49</v>
      </c>
      <c r="G15" s="44">
        <v>65</v>
      </c>
      <c r="H15" s="44">
        <v>53</v>
      </c>
      <c r="I15" s="44">
        <v>55</v>
      </c>
      <c r="J15" s="44">
        <v>40</v>
      </c>
      <c r="K15" s="44">
        <v>44</v>
      </c>
      <c r="L15" s="44">
        <v>51</v>
      </c>
      <c r="M15" s="44">
        <v>51</v>
      </c>
      <c r="N15" s="44">
        <v>44</v>
      </c>
      <c r="O15" s="44">
        <v>66</v>
      </c>
      <c r="P15" s="44">
        <v>48</v>
      </c>
      <c r="Q15" s="44">
        <v>44</v>
      </c>
      <c r="R15" s="44">
        <f>SUM(F15:P15)</f>
        <v>566</v>
      </c>
      <c r="S15" s="68"/>
    </row>
    <row r="16" spans="1:19" ht="69.95" hidden="1" customHeight="1" x14ac:dyDescent="0.25">
      <c r="A16" s="165"/>
      <c r="B16" s="143"/>
      <c r="C16" s="106" t="s">
        <v>55</v>
      </c>
      <c r="D16" s="147"/>
      <c r="E16" s="77"/>
      <c r="F16" s="76">
        <f t="shared" ref="F16:P16" si="3">F15/F14</f>
        <v>0.49494949494949497</v>
      </c>
      <c r="G16" s="76">
        <f t="shared" si="3"/>
        <v>0.6132075471698113</v>
      </c>
      <c r="H16" s="76">
        <f t="shared" si="3"/>
        <v>0.5145631067961165</v>
      </c>
      <c r="I16" s="76">
        <f t="shared" si="3"/>
        <v>0.50458715596330272</v>
      </c>
      <c r="J16" s="76">
        <f t="shared" si="3"/>
        <v>0.49382716049382713</v>
      </c>
      <c r="K16" s="76">
        <f t="shared" si="3"/>
        <v>0.48888888888888887</v>
      </c>
      <c r="L16" s="76">
        <f t="shared" si="3"/>
        <v>0.48113207547169812</v>
      </c>
      <c r="M16" s="76">
        <f t="shared" si="3"/>
        <v>0.5</v>
      </c>
      <c r="N16" s="76">
        <f t="shared" si="3"/>
        <v>0.44897959183673469</v>
      </c>
      <c r="O16" s="76">
        <f t="shared" si="3"/>
        <v>0.61682242990654201</v>
      </c>
      <c r="P16" s="76">
        <f t="shared" si="3"/>
        <v>0.48979591836734693</v>
      </c>
      <c r="Q16" s="76"/>
      <c r="R16" s="76">
        <f>R15/R14</f>
        <v>0.5150136487716106</v>
      </c>
      <c r="S16" s="68"/>
    </row>
    <row r="17" spans="1:21" ht="69.95" hidden="1" customHeight="1" x14ac:dyDescent="0.25">
      <c r="A17" s="165"/>
      <c r="B17" s="143"/>
      <c r="C17" s="106" t="s">
        <v>56</v>
      </c>
      <c r="D17" s="147"/>
      <c r="E17" s="77"/>
      <c r="F17" s="44">
        <v>36</v>
      </c>
      <c r="G17" s="44">
        <f>154-G14</f>
        <v>48</v>
      </c>
      <c r="H17" s="44">
        <v>41</v>
      </c>
      <c r="I17" s="44">
        <v>49</v>
      </c>
      <c r="J17" s="44">
        <v>60</v>
      </c>
      <c r="K17" s="44">
        <v>55</v>
      </c>
      <c r="L17" s="44">
        <v>44</v>
      </c>
      <c r="M17" s="44">
        <v>36</v>
      </c>
      <c r="N17" s="44">
        <v>31</v>
      </c>
      <c r="O17" s="44">
        <v>26</v>
      </c>
      <c r="P17" s="44">
        <v>36</v>
      </c>
      <c r="Q17" s="44"/>
      <c r="R17" s="44">
        <f>SUM(F17:Q17)</f>
        <v>462</v>
      </c>
      <c r="S17" s="68"/>
    </row>
    <row r="18" spans="1:21" ht="69.95" hidden="1" customHeight="1" x14ac:dyDescent="0.25">
      <c r="A18" s="165"/>
      <c r="B18" s="143"/>
      <c r="C18" s="106" t="s">
        <v>57</v>
      </c>
      <c r="D18" s="147"/>
      <c r="E18" s="77"/>
      <c r="F18" s="44">
        <v>15</v>
      </c>
      <c r="G18" s="44">
        <f>90-G15</f>
        <v>25</v>
      </c>
      <c r="H18" s="44">
        <v>18</v>
      </c>
      <c r="I18" s="44">
        <v>20</v>
      </c>
      <c r="J18" s="44">
        <v>28</v>
      </c>
      <c r="K18" s="44">
        <v>23</v>
      </c>
      <c r="L18" s="44">
        <v>21</v>
      </c>
      <c r="M18" s="44">
        <v>15</v>
      </c>
      <c r="N18" s="44">
        <v>10</v>
      </c>
      <c r="O18" s="44">
        <v>12</v>
      </c>
      <c r="P18" s="44">
        <v>16</v>
      </c>
      <c r="Q18" s="44"/>
      <c r="R18" s="44">
        <f>SUM(F18:Q18)</f>
        <v>203</v>
      </c>
      <c r="S18" s="68"/>
    </row>
    <row r="19" spans="1:21" ht="69.95" hidden="1" customHeight="1" thickBot="1" x14ac:dyDescent="0.3">
      <c r="A19" s="165"/>
      <c r="B19" s="145"/>
      <c r="C19" s="107" t="s">
        <v>58</v>
      </c>
      <c r="D19" s="148"/>
      <c r="E19" s="78"/>
      <c r="F19" s="79">
        <f t="shared" ref="F19:P19" si="4">F18/F17</f>
        <v>0.41666666666666669</v>
      </c>
      <c r="G19" s="79">
        <f t="shared" si="4"/>
        <v>0.52083333333333337</v>
      </c>
      <c r="H19" s="79">
        <f t="shared" si="4"/>
        <v>0.43902439024390244</v>
      </c>
      <c r="I19" s="79">
        <f t="shared" si="4"/>
        <v>0.40816326530612246</v>
      </c>
      <c r="J19" s="79">
        <f t="shared" si="4"/>
        <v>0.46666666666666667</v>
      </c>
      <c r="K19" s="79">
        <f t="shared" si="4"/>
        <v>0.41818181818181815</v>
      </c>
      <c r="L19" s="79">
        <f t="shared" si="4"/>
        <v>0.47727272727272729</v>
      </c>
      <c r="M19" s="79">
        <f t="shared" si="4"/>
        <v>0.41666666666666669</v>
      </c>
      <c r="N19" s="79">
        <f t="shared" si="4"/>
        <v>0.32258064516129031</v>
      </c>
      <c r="O19" s="79">
        <f t="shared" si="4"/>
        <v>0.46153846153846156</v>
      </c>
      <c r="P19" s="79">
        <f t="shared" si="4"/>
        <v>0.44444444444444442</v>
      </c>
      <c r="Q19" s="79"/>
      <c r="R19" s="79">
        <f>R18/R17</f>
        <v>0.43939393939393939</v>
      </c>
      <c r="S19" s="80"/>
    </row>
    <row r="20" spans="1:21" ht="69.95" customHeight="1" thickBot="1" x14ac:dyDescent="0.3">
      <c r="A20" s="165"/>
      <c r="B20" s="143" t="s">
        <v>17</v>
      </c>
      <c r="C20" s="108" t="s">
        <v>50</v>
      </c>
      <c r="D20" s="149" t="s">
        <v>65</v>
      </c>
      <c r="E20" s="119">
        <v>0.05</v>
      </c>
      <c r="F20" s="82">
        <f>F26-F29</f>
        <v>7.5765077966013811E-2</v>
      </c>
      <c r="G20" s="82">
        <f>G26-G29</f>
        <v>8.027152201111179E-2</v>
      </c>
      <c r="H20" s="82">
        <f>H26-H29</f>
        <v>4.4422784579371183E-2</v>
      </c>
      <c r="I20" s="82">
        <f>I26-I29</f>
        <v>5.951347498723096E-2</v>
      </c>
      <c r="J20" s="82">
        <f t="shared" ref="J20:R20" si="5">J26-J29</f>
        <v>6.9747044841551115E-2</v>
      </c>
      <c r="K20" s="82">
        <f t="shared" si="5"/>
        <v>9.2560856079033721E-2</v>
      </c>
      <c r="L20" s="82">
        <f t="shared" si="5"/>
        <v>5.8361399454151003E-2</v>
      </c>
      <c r="M20" s="82">
        <f>M26-M29</f>
        <v>4.4020030367632385E-2</v>
      </c>
      <c r="N20" s="82">
        <f>N26-N29</f>
        <v>7.7089460378399116E-2</v>
      </c>
      <c r="O20" s="82">
        <f t="shared" si="5"/>
        <v>6.8943445699148148E-2</v>
      </c>
      <c r="P20" s="82">
        <f t="shared" si="5"/>
        <v>7.4532403055816654E-2</v>
      </c>
      <c r="Q20" s="82" t="e">
        <f t="shared" si="5"/>
        <v>#DIV/0!</v>
      </c>
      <c r="R20" s="83">
        <f t="shared" si="5"/>
        <v>6.7646390082314128E-2</v>
      </c>
      <c r="S20" s="68">
        <v>3.5000000000000003E-2</v>
      </c>
    </row>
    <row r="21" spans="1:21" ht="69.95" hidden="1" customHeight="1" x14ac:dyDescent="0.25">
      <c r="A21" s="165"/>
      <c r="B21" s="143"/>
      <c r="C21" s="109" t="s">
        <v>103</v>
      </c>
      <c r="D21" s="150"/>
      <c r="E21" s="81"/>
      <c r="F21" s="74">
        <v>858</v>
      </c>
      <c r="G21" s="74">
        <v>865</v>
      </c>
      <c r="H21" s="74">
        <v>639</v>
      </c>
      <c r="I21" s="74">
        <v>666</v>
      </c>
      <c r="J21" s="74">
        <v>948</v>
      </c>
      <c r="K21" s="74">
        <v>914</v>
      </c>
      <c r="L21" s="74">
        <v>835</v>
      </c>
      <c r="M21" s="74">
        <v>806</v>
      </c>
      <c r="N21" s="74">
        <v>885</v>
      </c>
      <c r="O21" s="74">
        <v>873</v>
      </c>
      <c r="P21" s="74">
        <v>891</v>
      </c>
      <c r="Q21" s="75"/>
      <c r="R21" s="74">
        <f>SUM(F21:Q21)</f>
        <v>9180</v>
      </c>
      <c r="S21" s="84"/>
    </row>
    <row r="22" spans="1:21" ht="69.95" hidden="1" customHeight="1" x14ac:dyDescent="0.25">
      <c r="A22" s="165"/>
      <c r="B22" s="143"/>
      <c r="C22" s="109" t="s">
        <v>104</v>
      </c>
      <c r="D22" s="150"/>
      <c r="E22" s="81"/>
      <c r="F22" s="74">
        <v>3912</v>
      </c>
      <c r="G22" s="74">
        <v>4017</v>
      </c>
      <c r="H22" s="74">
        <v>3984</v>
      </c>
      <c r="I22" s="74">
        <v>4137</v>
      </c>
      <c r="J22" s="74">
        <v>5992</v>
      </c>
      <c r="K22" s="74">
        <v>3870</v>
      </c>
      <c r="L22" s="74">
        <v>4073</v>
      </c>
      <c r="M22" s="74">
        <v>3789</v>
      </c>
      <c r="N22" s="74">
        <v>4204</v>
      </c>
      <c r="O22" s="74">
        <v>4148</v>
      </c>
      <c r="P22" s="74">
        <v>4218</v>
      </c>
      <c r="Q22" s="75"/>
      <c r="R22" s="74">
        <f>SUM(F22:Q22)</f>
        <v>46344</v>
      </c>
      <c r="S22" s="84"/>
      <c r="T22" s="137" t="s">
        <v>135</v>
      </c>
      <c r="U22" s="135" t="s">
        <v>136</v>
      </c>
    </row>
    <row r="23" spans="1:21" ht="69.95" hidden="1" customHeight="1" x14ac:dyDescent="0.25">
      <c r="A23" s="165"/>
      <c r="B23" s="143"/>
      <c r="C23" s="109" t="s">
        <v>105</v>
      </c>
      <c r="D23" s="150"/>
      <c r="E23" s="81"/>
      <c r="F23" s="75">
        <f>G21/G22</f>
        <v>0.21533482698531242</v>
      </c>
      <c r="G23" s="75">
        <f t="shared" ref="G23:P23" si="6">G21/G22</f>
        <v>0.21533482698531242</v>
      </c>
      <c r="H23" s="75">
        <f t="shared" si="6"/>
        <v>0.16039156626506024</v>
      </c>
      <c r="I23" s="75">
        <f t="shared" si="6"/>
        <v>0.16098622189992748</v>
      </c>
      <c r="J23" s="75">
        <f t="shared" si="6"/>
        <v>0.15821094793057411</v>
      </c>
      <c r="K23" s="75">
        <f t="shared" si="6"/>
        <v>0.23617571059431525</v>
      </c>
      <c r="L23" s="75">
        <f t="shared" si="6"/>
        <v>0.20500859317456421</v>
      </c>
      <c r="M23" s="75">
        <f t="shared" si="6"/>
        <v>0.21272103457376618</v>
      </c>
      <c r="N23" s="75">
        <f t="shared" si="6"/>
        <v>0.21051379638439582</v>
      </c>
      <c r="O23" s="75">
        <f t="shared" si="6"/>
        <v>0.21046287367405977</v>
      </c>
      <c r="P23" s="75">
        <f t="shared" si="6"/>
        <v>0.21123755334281649</v>
      </c>
      <c r="Q23" s="75"/>
      <c r="R23" s="75">
        <f t="shared" ref="R23" si="7">R21/R22</f>
        <v>0.19808389435525633</v>
      </c>
      <c r="S23" s="84"/>
    </row>
    <row r="24" spans="1:21" ht="69.95" hidden="1" customHeight="1" x14ac:dyDescent="0.25">
      <c r="A24" s="165"/>
      <c r="B24" s="143"/>
      <c r="C24" s="109" t="s">
        <v>106</v>
      </c>
      <c r="D24" s="150"/>
      <c r="E24" s="81"/>
      <c r="F24" s="85">
        <v>714</v>
      </c>
      <c r="G24" s="85">
        <v>724</v>
      </c>
      <c r="H24" s="85">
        <v>520</v>
      </c>
      <c r="I24" s="85">
        <v>553</v>
      </c>
      <c r="J24" s="85">
        <v>807</v>
      </c>
      <c r="K24" s="85">
        <v>765</v>
      </c>
      <c r="L24" s="85">
        <v>677</v>
      </c>
      <c r="M24" s="85">
        <v>644</v>
      </c>
      <c r="N24" s="85">
        <v>730</v>
      </c>
      <c r="O24" s="85">
        <v>718</v>
      </c>
      <c r="P24" s="85">
        <v>738</v>
      </c>
      <c r="Q24" s="86"/>
      <c r="R24" s="74">
        <f>SUM(F24:Q24)</f>
        <v>7590</v>
      </c>
      <c r="S24" s="84"/>
    </row>
    <row r="25" spans="1:21" ht="69.95" hidden="1" customHeight="1" x14ac:dyDescent="0.25">
      <c r="A25" s="165"/>
      <c r="B25" s="143"/>
      <c r="C25" s="109" t="s">
        <v>107</v>
      </c>
      <c r="D25" s="150"/>
      <c r="E25" s="81"/>
      <c r="F25" s="85">
        <v>3017</v>
      </c>
      <c r="G25" s="85">
        <v>3098</v>
      </c>
      <c r="H25" s="85">
        <v>3043</v>
      </c>
      <c r="I25" s="85">
        <v>3159</v>
      </c>
      <c r="J25" s="85">
        <v>4639</v>
      </c>
      <c r="K25" s="85">
        <v>2968</v>
      </c>
      <c r="L25" s="85">
        <v>3090</v>
      </c>
      <c r="M25" s="85">
        <v>2885</v>
      </c>
      <c r="N25" s="85">
        <v>3185</v>
      </c>
      <c r="O25" s="85">
        <v>3166</v>
      </c>
      <c r="P25" s="85">
        <v>3226</v>
      </c>
      <c r="Q25" s="86"/>
      <c r="R25" s="74">
        <f>SUM(F25:Q25)</f>
        <v>35476</v>
      </c>
      <c r="S25" s="84"/>
    </row>
    <row r="26" spans="1:21" ht="69.95" hidden="1" customHeight="1" x14ac:dyDescent="0.25">
      <c r="A26" s="165"/>
      <c r="B26" s="143"/>
      <c r="C26" s="109" t="s">
        <v>108</v>
      </c>
      <c r="D26" s="150"/>
      <c r="E26" s="81"/>
      <c r="F26" s="75">
        <f>F24/F25</f>
        <v>0.23665893271461716</v>
      </c>
      <c r="G26" s="75">
        <f>G24/G25</f>
        <v>0.23369916074887023</v>
      </c>
      <c r="H26" s="75">
        <f>H24/H25</f>
        <v>0.17088399605652316</v>
      </c>
      <c r="I26" s="75">
        <f t="shared" ref="I26:R26" si="8">I24/I25</f>
        <v>0.17505539727761951</v>
      </c>
      <c r="J26" s="75">
        <f t="shared" si="8"/>
        <v>0.1739599051519724</v>
      </c>
      <c r="K26" s="75">
        <f t="shared" si="8"/>
        <v>0.25774932614555257</v>
      </c>
      <c r="L26" s="75">
        <f t="shared" si="8"/>
        <v>0.21909385113268609</v>
      </c>
      <c r="M26" s="75">
        <f t="shared" si="8"/>
        <v>0.22322357019064124</v>
      </c>
      <c r="N26" s="75">
        <f t="shared" si="8"/>
        <v>0.22919937205651492</v>
      </c>
      <c r="O26" s="75">
        <f t="shared" si="8"/>
        <v>0.22678458622867972</v>
      </c>
      <c r="P26" s="75">
        <f t="shared" si="8"/>
        <v>0.22876627402355859</v>
      </c>
      <c r="Q26" s="75" t="e">
        <f t="shared" si="8"/>
        <v>#DIV/0!</v>
      </c>
      <c r="R26" s="75">
        <f t="shared" si="8"/>
        <v>0.21394745743601307</v>
      </c>
      <c r="S26" s="84"/>
    </row>
    <row r="27" spans="1:21" ht="69.95" hidden="1" customHeight="1" x14ac:dyDescent="0.25">
      <c r="A27" s="165"/>
      <c r="B27" s="143"/>
      <c r="C27" s="109" t="s">
        <v>109</v>
      </c>
      <c r="D27" s="150"/>
      <c r="E27" s="81"/>
      <c r="F27" s="74">
        <f t="shared" ref="F27:H28" si="9">F21-F24</f>
        <v>144</v>
      </c>
      <c r="G27" s="74">
        <f t="shared" si="9"/>
        <v>141</v>
      </c>
      <c r="H27" s="74">
        <f t="shared" si="9"/>
        <v>119</v>
      </c>
      <c r="I27" s="74">
        <v>113</v>
      </c>
      <c r="J27" s="74">
        <v>141</v>
      </c>
      <c r="K27" s="74">
        <v>149</v>
      </c>
      <c r="L27" s="74">
        <v>158</v>
      </c>
      <c r="M27" s="74">
        <v>162</v>
      </c>
      <c r="N27" s="74">
        <v>155</v>
      </c>
      <c r="O27" s="74">
        <v>155</v>
      </c>
      <c r="P27" s="74">
        <v>153</v>
      </c>
      <c r="Q27" s="87"/>
      <c r="R27" s="74">
        <f>SUM(F27:Q27)</f>
        <v>1590</v>
      </c>
      <c r="S27" s="84"/>
    </row>
    <row r="28" spans="1:21" ht="69.95" hidden="1" customHeight="1" x14ac:dyDescent="0.25">
      <c r="A28" s="165"/>
      <c r="B28" s="143"/>
      <c r="C28" s="109" t="s">
        <v>110</v>
      </c>
      <c r="D28" s="150"/>
      <c r="E28" s="81"/>
      <c r="F28" s="88">
        <f t="shared" si="9"/>
        <v>895</v>
      </c>
      <c r="G28" s="85">
        <f t="shared" si="9"/>
        <v>919</v>
      </c>
      <c r="H28" s="85">
        <f t="shared" si="9"/>
        <v>941</v>
      </c>
      <c r="I28" s="85">
        <f>I22-I25</f>
        <v>978</v>
      </c>
      <c r="J28" s="85">
        <f t="shared" ref="J28:K28" si="10">J22-J25</f>
        <v>1353</v>
      </c>
      <c r="K28" s="85">
        <f t="shared" si="10"/>
        <v>902</v>
      </c>
      <c r="L28" s="85">
        <f>L22-L25</f>
        <v>983</v>
      </c>
      <c r="M28" s="85">
        <f>M22-M25</f>
        <v>904</v>
      </c>
      <c r="N28" s="85">
        <f>N22-N25</f>
        <v>1019</v>
      </c>
      <c r="O28" s="85">
        <f>O22-O25</f>
        <v>982</v>
      </c>
      <c r="P28" s="85">
        <f>P22-P25</f>
        <v>992</v>
      </c>
      <c r="Q28" s="89"/>
      <c r="R28" s="74">
        <f>SUM(F28:Q28)</f>
        <v>10868</v>
      </c>
      <c r="S28" s="84"/>
    </row>
    <row r="29" spans="1:21" ht="32.25" hidden="1" customHeight="1" thickBot="1" x14ac:dyDescent="0.3">
      <c r="A29" s="165"/>
      <c r="B29" s="143"/>
      <c r="C29" s="110" t="s">
        <v>111</v>
      </c>
      <c r="D29" s="151"/>
      <c r="E29" s="90"/>
      <c r="F29" s="91">
        <f t="shared" ref="F29:L29" si="11">F27/F28</f>
        <v>0.16089385474860335</v>
      </c>
      <c r="G29" s="91">
        <f t="shared" si="11"/>
        <v>0.15342763873775844</v>
      </c>
      <c r="H29" s="91">
        <f t="shared" si="11"/>
        <v>0.12646121147715197</v>
      </c>
      <c r="I29" s="91">
        <f t="shared" si="11"/>
        <v>0.11554192229038855</v>
      </c>
      <c r="J29" s="91">
        <f t="shared" si="11"/>
        <v>0.10421286031042129</v>
      </c>
      <c r="K29" s="91">
        <f t="shared" si="11"/>
        <v>0.16518847006651885</v>
      </c>
      <c r="L29" s="91">
        <f t="shared" si="11"/>
        <v>0.16073245167853509</v>
      </c>
      <c r="M29" s="91">
        <f>M27/M28</f>
        <v>0.17920353982300885</v>
      </c>
      <c r="N29" s="91">
        <f>N27/N28</f>
        <v>0.1521099116781158</v>
      </c>
      <c r="O29" s="91">
        <f>O27/O28</f>
        <v>0.15784114052953158</v>
      </c>
      <c r="P29" s="91">
        <f>P27/P28</f>
        <v>0.15423387096774194</v>
      </c>
      <c r="Q29" s="92"/>
      <c r="R29" s="75">
        <f t="shared" ref="R29" si="12">R27/R28</f>
        <v>0.14630106735369894</v>
      </c>
      <c r="S29" s="93"/>
    </row>
    <row r="30" spans="1:21" ht="69.95" customHeight="1" x14ac:dyDescent="0.25">
      <c r="A30" s="165"/>
      <c r="B30" s="117" t="s">
        <v>18</v>
      </c>
      <c r="C30" s="111" t="s">
        <v>51</v>
      </c>
      <c r="D30" s="36" t="s">
        <v>112</v>
      </c>
      <c r="E30" s="94">
        <v>7.0000000000000007E-2</v>
      </c>
      <c r="F30" s="70">
        <v>6.0999999999999999E-2</v>
      </c>
      <c r="G30" s="70">
        <v>5.2999999999999999E-2</v>
      </c>
      <c r="H30" s="70">
        <v>5.2999999999999999E-2</v>
      </c>
      <c r="I30" s="70">
        <f>[2]Health!$H$3</f>
        <v>6.0000000000000053E-2</v>
      </c>
      <c r="J30" s="70">
        <f>[2]Health!$I$3</f>
        <v>5.7000000000000002E-2</v>
      </c>
      <c r="K30" s="70">
        <v>6.5000000000000002E-2</v>
      </c>
      <c r="L30" s="70">
        <v>5.7000000000000002E-2</v>
      </c>
      <c r="M30" s="70">
        <v>5.3999999999999999E-2</v>
      </c>
      <c r="N30" s="70">
        <v>5.1999999999999998E-2</v>
      </c>
      <c r="O30" s="70">
        <v>5.1999999999999998E-2</v>
      </c>
      <c r="P30" s="70">
        <v>5.2999999999999999E-2</v>
      </c>
      <c r="Q30" s="70" t="e">
        <f>#REF!-#REF!</f>
        <v>#REF!</v>
      </c>
      <c r="R30" s="71">
        <f>AVERAGE(F30:H30)</f>
        <v>5.5666666666666663E-2</v>
      </c>
      <c r="S30" s="72">
        <v>3.5000000000000003E-2</v>
      </c>
      <c r="T30" s="136" t="s">
        <v>137</v>
      </c>
    </row>
    <row r="31" spans="1:21" ht="69.95" customHeight="1" x14ac:dyDescent="0.25">
      <c r="A31" s="130"/>
      <c r="B31" s="132" t="s">
        <v>74</v>
      </c>
      <c r="C31" s="106" t="s">
        <v>75</v>
      </c>
      <c r="D31" s="28"/>
      <c r="E31" s="95" t="s">
        <v>76</v>
      </c>
      <c r="F31" s="96">
        <v>1476</v>
      </c>
      <c r="G31" s="96">
        <v>3714</v>
      </c>
      <c r="H31" s="96">
        <v>4581</v>
      </c>
      <c r="I31" s="96">
        <v>4695</v>
      </c>
      <c r="J31" s="96">
        <v>4283</v>
      </c>
      <c r="K31" s="96">
        <v>3286</v>
      </c>
      <c r="L31" s="96">
        <v>3844</v>
      </c>
      <c r="M31" s="96">
        <v>2975</v>
      </c>
      <c r="N31" s="96">
        <v>3126</v>
      </c>
      <c r="O31" s="96">
        <v>2623</v>
      </c>
      <c r="P31" s="96">
        <v>2514</v>
      </c>
      <c r="Q31" s="97"/>
      <c r="R31" s="98">
        <f>SUM(F31:Q31)</f>
        <v>37117</v>
      </c>
      <c r="S31" s="122"/>
    </row>
    <row r="32" spans="1:21" ht="69.95" customHeight="1" x14ac:dyDescent="0.25">
      <c r="A32" s="130"/>
      <c r="B32" s="132"/>
      <c r="C32" s="28" t="s">
        <v>73</v>
      </c>
      <c r="D32" s="28"/>
      <c r="E32" s="33" t="s">
        <v>76</v>
      </c>
      <c r="F32" s="34">
        <v>110</v>
      </c>
      <c r="G32" s="34">
        <v>289</v>
      </c>
      <c r="H32" s="34">
        <v>339</v>
      </c>
      <c r="I32" s="34">
        <v>276</v>
      </c>
      <c r="J32" s="34">
        <v>245</v>
      </c>
      <c r="K32" s="34">
        <v>201</v>
      </c>
      <c r="L32" s="34">
        <v>274</v>
      </c>
      <c r="M32" s="34">
        <v>195</v>
      </c>
      <c r="N32" s="34">
        <v>200</v>
      </c>
      <c r="O32" s="34">
        <v>200</v>
      </c>
      <c r="P32" s="34">
        <v>163</v>
      </c>
      <c r="Q32" s="35"/>
      <c r="R32" s="29">
        <f>SUM(F32:Q32)</f>
        <v>2492</v>
      </c>
      <c r="S32" s="123"/>
    </row>
    <row r="33" spans="1:21" ht="69.95" customHeight="1" x14ac:dyDescent="0.25">
      <c r="A33" s="130"/>
      <c r="B33" s="132"/>
      <c r="C33" s="28" t="s">
        <v>142</v>
      </c>
      <c r="D33" s="28"/>
      <c r="E33" s="33" t="s">
        <v>76</v>
      </c>
      <c r="F33" s="139">
        <f>F32/F31</f>
        <v>7.4525745257452577E-2</v>
      </c>
      <c r="G33" s="139">
        <f t="shared" ref="G33:R33" si="13">G32/G31</f>
        <v>7.7813677975228868E-2</v>
      </c>
      <c r="H33" s="139">
        <f t="shared" si="13"/>
        <v>7.4001309757694825E-2</v>
      </c>
      <c r="I33" s="139">
        <f t="shared" si="13"/>
        <v>5.8785942492012778E-2</v>
      </c>
      <c r="J33" s="139">
        <f t="shared" si="13"/>
        <v>5.7202895166939063E-2</v>
      </c>
      <c r="K33" s="139">
        <f t="shared" si="13"/>
        <v>6.1168594035301276E-2</v>
      </c>
      <c r="L33" s="139">
        <f t="shared" si="13"/>
        <v>7.1279916753381897E-2</v>
      </c>
      <c r="M33" s="139">
        <f t="shared" si="13"/>
        <v>6.5546218487394961E-2</v>
      </c>
      <c r="N33" s="139">
        <f t="shared" si="13"/>
        <v>6.3979526551503518E-2</v>
      </c>
      <c r="O33" s="139">
        <f t="shared" si="13"/>
        <v>7.624857033930614E-2</v>
      </c>
      <c r="P33" s="139">
        <f t="shared" si="13"/>
        <v>6.4836913285600636E-2</v>
      </c>
      <c r="Q33" s="139" t="e">
        <f t="shared" si="13"/>
        <v>#DIV/0!</v>
      </c>
      <c r="R33" s="139">
        <f t="shared" si="13"/>
        <v>6.7139046797963203E-2</v>
      </c>
      <c r="S33" s="123"/>
    </row>
    <row r="34" spans="1:21" ht="69.95" customHeight="1" x14ac:dyDescent="0.25">
      <c r="A34" s="130"/>
      <c r="B34" s="132"/>
      <c r="C34" s="28" t="s">
        <v>123</v>
      </c>
      <c r="D34" s="9"/>
      <c r="E34" s="25" t="s">
        <v>76</v>
      </c>
      <c r="F34" s="38">
        <v>101</v>
      </c>
      <c r="G34" s="38">
        <v>130</v>
      </c>
      <c r="H34" s="38">
        <v>145</v>
      </c>
      <c r="I34" s="38">
        <v>155</v>
      </c>
      <c r="J34" s="38">
        <v>182</v>
      </c>
      <c r="K34" s="38">
        <v>196</v>
      </c>
      <c r="L34" s="38">
        <v>198</v>
      </c>
      <c r="M34" s="38">
        <v>241</v>
      </c>
      <c r="N34" s="38">
        <v>272</v>
      </c>
      <c r="O34" s="38">
        <v>303</v>
      </c>
      <c r="P34" s="38">
        <f>O34+22</f>
        <v>325</v>
      </c>
      <c r="Q34" s="39"/>
      <c r="R34" s="29">
        <f>MAX(F34:Q34)</f>
        <v>325</v>
      </c>
      <c r="S34" s="123"/>
    </row>
    <row r="35" spans="1:21" ht="69.95" customHeight="1" x14ac:dyDescent="0.25">
      <c r="A35" s="130"/>
      <c r="B35" s="132"/>
      <c r="C35" s="28" t="s">
        <v>122</v>
      </c>
      <c r="D35" s="9"/>
      <c r="E35" s="25" t="s">
        <v>76</v>
      </c>
      <c r="F35" s="38">
        <v>60</v>
      </c>
      <c r="G35" s="38">
        <v>81</v>
      </c>
      <c r="H35" s="38">
        <v>94</v>
      </c>
      <c r="I35" s="38">
        <v>114</v>
      </c>
      <c r="J35" s="38">
        <v>116</v>
      </c>
      <c r="K35" s="38">
        <v>115</v>
      </c>
      <c r="L35" s="38">
        <v>112</v>
      </c>
      <c r="M35" s="38">
        <v>162</v>
      </c>
      <c r="N35" s="38">
        <v>250</v>
      </c>
      <c r="O35" s="38">
        <v>276</v>
      </c>
      <c r="P35" s="38">
        <v>268</v>
      </c>
      <c r="Q35" s="39"/>
      <c r="R35" s="29">
        <v>268</v>
      </c>
      <c r="S35" s="123">
        <v>500</v>
      </c>
    </row>
    <row r="36" spans="1:21" ht="69.95" customHeight="1" x14ac:dyDescent="0.25">
      <c r="A36" s="130"/>
      <c r="B36" s="132"/>
      <c r="C36" s="28" t="s">
        <v>129</v>
      </c>
      <c r="D36" s="9"/>
      <c r="E36" s="25" t="s">
        <v>76</v>
      </c>
      <c r="F36" s="38">
        <f t="shared" ref="F36:K36" si="14">F35-F37</f>
        <v>42</v>
      </c>
      <c r="G36" s="38">
        <f t="shared" si="14"/>
        <v>37</v>
      </c>
      <c r="H36" s="38">
        <f t="shared" si="14"/>
        <v>51</v>
      </c>
      <c r="I36" s="38">
        <f t="shared" si="14"/>
        <v>71</v>
      </c>
      <c r="J36" s="38">
        <f t="shared" si="14"/>
        <v>74</v>
      </c>
      <c r="K36" s="38">
        <f t="shared" si="14"/>
        <v>73</v>
      </c>
      <c r="L36" s="38">
        <v>57</v>
      </c>
      <c r="M36" s="38">
        <v>52</v>
      </c>
      <c r="N36" s="38">
        <v>49</v>
      </c>
      <c r="O36" s="38">
        <v>49</v>
      </c>
      <c r="P36" s="38">
        <v>41</v>
      </c>
      <c r="Q36" s="39"/>
      <c r="R36" s="23">
        <f>AVERAGE(F36:P36)</f>
        <v>54.18181818181818</v>
      </c>
      <c r="S36" s="123"/>
    </row>
    <row r="37" spans="1:21" ht="69.95" customHeight="1" x14ac:dyDescent="0.25">
      <c r="A37" s="130"/>
      <c r="B37" s="132"/>
      <c r="C37" s="28" t="s">
        <v>128</v>
      </c>
      <c r="D37" s="9"/>
      <c r="E37" s="25" t="s">
        <v>76</v>
      </c>
      <c r="F37" s="38">
        <v>18</v>
      </c>
      <c r="G37" s="38">
        <v>44</v>
      </c>
      <c r="H37" s="38">
        <v>43</v>
      </c>
      <c r="I37" s="38">
        <v>43</v>
      </c>
      <c r="J37" s="38">
        <v>42</v>
      </c>
      <c r="K37" s="38">
        <v>42</v>
      </c>
      <c r="L37" s="38">
        <v>56</v>
      </c>
      <c r="M37" s="38">
        <v>108</v>
      </c>
      <c r="N37" s="38">
        <v>201</v>
      </c>
      <c r="O37" s="38">
        <v>227</v>
      </c>
      <c r="P37" s="38">
        <v>231</v>
      </c>
      <c r="Q37" s="39"/>
      <c r="R37" s="29">
        <v>227</v>
      </c>
      <c r="S37" s="123"/>
    </row>
    <row r="38" spans="1:21" ht="69.95" customHeight="1" x14ac:dyDescent="0.25">
      <c r="A38" s="130"/>
      <c r="B38" s="132"/>
      <c r="C38" s="28" t="s">
        <v>71</v>
      </c>
      <c r="D38" s="9"/>
      <c r="E38" s="25" t="s">
        <v>76</v>
      </c>
      <c r="F38" s="38">
        <v>38</v>
      </c>
      <c r="G38" s="38">
        <v>20</v>
      </c>
      <c r="H38" s="38">
        <v>38</v>
      </c>
      <c r="I38" s="38">
        <v>38</v>
      </c>
      <c r="J38" s="38">
        <v>40</v>
      </c>
      <c r="K38" s="38">
        <v>39</v>
      </c>
      <c r="L38" s="38">
        <v>36</v>
      </c>
      <c r="M38" s="38">
        <v>32</v>
      </c>
      <c r="N38" s="38">
        <v>32</v>
      </c>
      <c r="O38" s="38">
        <v>32</v>
      </c>
      <c r="P38" s="38">
        <v>36</v>
      </c>
      <c r="Q38" s="39"/>
      <c r="R38" s="29">
        <v>40</v>
      </c>
      <c r="S38" s="123"/>
    </row>
    <row r="39" spans="1:21" ht="69.95" customHeight="1" x14ac:dyDescent="0.25">
      <c r="A39" s="130"/>
      <c r="B39" s="132"/>
      <c r="C39" s="28" t="s">
        <v>124</v>
      </c>
      <c r="D39" s="9"/>
      <c r="E39" s="25" t="s">
        <v>76</v>
      </c>
      <c r="F39" s="38">
        <v>0.5</v>
      </c>
      <c r="G39" s="38">
        <v>0.5</v>
      </c>
      <c r="H39" s="38">
        <v>0.5</v>
      </c>
      <c r="I39" s="38">
        <v>0.5</v>
      </c>
      <c r="J39" s="38">
        <v>0.5</v>
      </c>
      <c r="K39" s="38">
        <v>0.5</v>
      </c>
      <c r="L39" s="38">
        <v>0.5</v>
      </c>
      <c r="M39" s="38">
        <v>1.5</v>
      </c>
      <c r="N39" s="38">
        <v>2</v>
      </c>
      <c r="O39" s="38">
        <v>2</v>
      </c>
      <c r="P39" s="38">
        <v>2</v>
      </c>
      <c r="Q39" s="39"/>
      <c r="R39" s="29">
        <v>2</v>
      </c>
      <c r="S39" s="123" t="s">
        <v>125</v>
      </c>
    </row>
    <row r="40" spans="1:21" ht="69.95" customHeight="1" x14ac:dyDescent="0.25">
      <c r="A40" s="130"/>
      <c r="B40" s="132"/>
      <c r="C40" s="28" t="s">
        <v>77</v>
      </c>
      <c r="D40" s="9"/>
      <c r="E40" s="25" t="s">
        <v>76</v>
      </c>
      <c r="F40" s="124" t="s">
        <v>102</v>
      </c>
      <c r="G40" s="125" t="s">
        <v>102</v>
      </c>
      <c r="H40" s="38" t="s">
        <v>100</v>
      </c>
      <c r="I40" s="38" t="s">
        <v>101</v>
      </c>
      <c r="J40" s="38" t="s">
        <v>113</v>
      </c>
      <c r="K40" s="38" t="s">
        <v>121</v>
      </c>
      <c r="L40" s="38" t="s">
        <v>138</v>
      </c>
      <c r="M40" s="38" t="s">
        <v>143</v>
      </c>
      <c r="N40" s="38" t="s">
        <v>144</v>
      </c>
      <c r="O40" s="38" t="s">
        <v>144</v>
      </c>
      <c r="P40" s="38" t="s">
        <v>148</v>
      </c>
      <c r="Q40" s="39"/>
      <c r="R40" s="126">
        <f>55/57</f>
        <v>0.96491228070175439</v>
      </c>
      <c r="S40" s="127">
        <v>0.8</v>
      </c>
    </row>
    <row r="41" spans="1:21" ht="69.95" customHeight="1" x14ac:dyDescent="0.25">
      <c r="A41" s="130"/>
      <c r="B41" s="132"/>
      <c r="C41" s="28" t="s">
        <v>72</v>
      </c>
      <c r="D41" s="28"/>
      <c r="E41" s="23">
        <v>408</v>
      </c>
      <c r="F41" s="38">
        <v>127</v>
      </c>
      <c r="G41" s="38">
        <v>134</v>
      </c>
      <c r="H41" s="38">
        <v>194</v>
      </c>
      <c r="I41" s="38">
        <v>182</v>
      </c>
      <c r="J41" s="38">
        <v>211</v>
      </c>
      <c r="K41" s="38">
        <v>157</v>
      </c>
      <c r="L41" s="38">
        <v>288</v>
      </c>
      <c r="M41" s="38">
        <v>350</v>
      </c>
      <c r="N41" s="38">
        <v>554</v>
      </c>
      <c r="O41" s="38">
        <v>643</v>
      </c>
      <c r="P41" s="38">
        <v>604</v>
      </c>
      <c r="Q41" s="128"/>
      <c r="R41" s="29">
        <f t="shared" ref="R41:R46" si="15">SUM(F41:Q41)</f>
        <v>3444</v>
      </c>
      <c r="S41" s="129"/>
    </row>
    <row r="42" spans="1:21" ht="69.95" customHeight="1" x14ac:dyDescent="0.25">
      <c r="A42" s="130"/>
      <c r="B42" s="132"/>
      <c r="C42" s="28" t="s">
        <v>126</v>
      </c>
      <c r="D42" s="9"/>
      <c r="E42" s="25" t="s">
        <v>76</v>
      </c>
      <c r="F42" s="38">
        <f>127-76</f>
        <v>51</v>
      </c>
      <c r="G42" s="38">
        <f>134-89</f>
        <v>45</v>
      </c>
      <c r="H42" s="38">
        <f>196-139</f>
        <v>57</v>
      </c>
      <c r="I42" s="38">
        <f>183-125</f>
        <v>58</v>
      </c>
      <c r="J42" s="38">
        <v>54</v>
      </c>
      <c r="K42" s="38">
        <v>78</v>
      </c>
      <c r="L42" s="38">
        <v>70</v>
      </c>
      <c r="M42" s="38">
        <v>72</v>
      </c>
      <c r="N42" s="38">
        <v>76</v>
      </c>
      <c r="O42" s="38">
        <v>58</v>
      </c>
      <c r="P42" s="38">
        <v>49</v>
      </c>
      <c r="Q42" s="39"/>
      <c r="R42" s="29">
        <f t="shared" si="15"/>
        <v>668</v>
      </c>
      <c r="S42" s="123"/>
    </row>
    <row r="43" spans="1:21" ht="69.75" customHeight="1" x14ac:dyDescent="0.25">
      <c r="A43" s="130"/>
      <c r="B43" s="132"/>
      <c r="C43" s="28" t="s">
        <v>127</v>
      </c>
      <c r="D43" s="9"/>
      <c r="E43" s="25" t="s">
        <v>76</v>
      </c>
      <c r="F43" s="38">
        <v>76</v>
      </c>
      <c r="G43" s="38">
        <v>89</v>
      </c>
      <c r="H43" s="38">
        <v>139</v>
      </c>
      <c r="I43" s="38">
        <v>125</v>
      </c>
      <c r="J43" s="38">
        <v>137</v>
      </c>
      <c r="K43" s="38">
        <v>80</v>
      </c>
      <c r="L43" s="38">
        <v>220</v>
      </c>
      <c r="M43" s="38">
        <v>279</v>
      </c>
      <c r="N43" s="38">
        <v>478</v>
      </c>
      <c r="O43" s="38">
        <v>586</v>
      </c>
      <c r="P43" s="38">
        <v>556</v>
      </c>
      <c r="Q43" s="39"/>
      <c r="R43" s="29">
        <f t="shared" si="15"/>
        <v>2765</v>
      </c>
      <c r="S43" s="123"/>
    </row>
    <row r="44" spans="1:21" ht="70.5" customHeight="1" x14ac:dyDescent="0.35">
      <c r="A44" s="130"/>
      <c r="B44" s="120"/>
      <c r="C44" s="28" t="s">
        <v>130</v>
      </c>
      <c r="D44" s="9"/>
      <c r="E44" s="23" t="s">
        <v>76</v>
      </c>
      <c r="F44" s="38">
        <v>2735</v>
      </c>
      <c r="G44" s="38">
        <v>2880</v>
      </c>
      <c r="H44" s="38">
        <v>3390</v>
      </c>
      <c r="I44" s="38">
        <v>3185</v>
      </c>
      <c r="J44" s="38">
        <v>3815</v>
      </c>
      <c r="K44" s="38">
        <v>3483</v>
      </c>
      <c r="L44" s="38">
        <v>5638</v>
      </c>
      <c r="M44" s="38">
        <v>5890</v>
      </c>
      <c r="N44" s="38">
        <v>9280</v>
      </c>
      <c r="O44" s="38">
        <v>10850</v>
      </c>
      <c r="P44" s="38">
        <v>11260</v>
      </c>
      <c r="Q44" s="26"/>
      <c r="R44" s="29">
        <f t="shared" si="15"/>
        <v>62406</v>
      </c>
      <c r="S44" s="5"/>
      <c r="T44" s="5">
        <f>R44/60</f>
        <v>1040.0999999999999</v>
      </c>
      <c r="U44" s="133" t="s">
        <v>133</v>
      </c>
    </row>
    <row r="45" spans="1:21" ht="70.5" customHeight="1" x14ac:dyDescent="0.35">
      <c r="A45" s="130"/>
      <c r="B45" s="120"/>
      <c r="C45" s="28" t="s">
        <v>131</v>
      </c>
      <c r="D45" s="9"/>
      <c r="E45" s="23" t="s">
        <v>76</v>
      </c>
      <c r="F45" s="38">
        <f>F44-F46</f>
        <v>1235</v>
      </c>
      <c r="G45" s="38">
        <f t="shared" ref="G45:K45" si="16">G44-G46</f>
        <v>1120</v>
      </c>
      <c r="H45" s="38">
        <f t="shared" si="16"/>
        <v>1320</v>
      </c>
      <c r="I45" s="38">
        <f>I44-I46</f>
        <v>1325</v>
      </c>
      <c r="J45" s="38">
        <f>J44-J46</f>
        <v>1775</v>
      </c>
      <c r="K45" s="38">
        <f t="shared" si="16"/>
        <v>1925</v>
      </c>
      <c r="L45" s="38">
        <v>1940</v>
      </c>
      <c r="M45" s="38">
        <v>1700</v>
      </c>
      <c r="N45" s="38">
        <v>2110</v>
      </c>
      <c r="O45" s="38">
        <v>1725</v>
      </c>
      <c r="P45" s="38">
        <v>1325</v>
      </c>
      <c r="Q45" s="26"/>
      <c r="R45" s="29">
        <f t="shared" si="15"/>
        <v>17500</v>
      </c>
      <c r="S45" s="5"/>
      <c r="T45" s="5">
        <f t="shared" ref="T45:T46" si="17">R45/60</f>
        <v>291.66666666666669</v>
      </c>
      <c r="U45" s="133" t="s">
        <v>133</v>
      </c>
    </row>
    <row r="46" spans="1:21" ht="70.5" customHeight="1" x14ac:dyDescent="0.35">
      <c r="A46" s="130"/>
      <c r="B46" s="120"/>
      <c r="C46" s="28" t="s">
        <v>132</v>
      </c>
      <c r="D46" s="9"/>
      <c r="E46" s="23" t="s">
        <v>76</v>
      </c>
      <c r="F46" s="38">
        <v>1500</v>
      </c>
      <c r="G46" s="38">
        <v>1760</v>
      </c>
      <c r="H46" s="38">
        <v>2070</v>
      </c>
      <c r="I46" s="38">
        <v>1860</v>
      </c>
      <c r="J46" s="38">
        <v>2040</v>
      </c>
      <c r="K46" s="38">
        <v>1558</v>
      </c>
      <c r="L46" s="38">
        <v>3698</v>
      </c>
      <c r="M46" s="38">
        <v>4190</v>
      </c>
      <c r="N46" s="38">
        <v>7170</v>
      </c>
      <c r="O46" s="38">
        <v>9125</v>
      </c>
      <c r="P46" s="38">
        <v>9935</v>
      </c>
      <c r="Q46" s="26"/>
      <c r="R46" s="29">
        <f t="shared" si="15"/>
        <v>44906</v>
      </c>
      <c r="S46" s="5"/>
      <c r="T46" s="5">
        <f t="shared" si="17"/>
        <v>748.43333333333328</v>
      </c>
      <c r="U46" s="133" t="s">
        <v>133</v>
      </c>
    </row>
    <row r="47" spans="1:21" ht="24" customHeight="1" thickBot="1" x14ac:dyDescent="0.4">
      <c r="A47" s="131"/>
      <c r="B47" s="121"/>
      <c r="C47" s="32" t="s">
        <v>134</v>
      </c>
      <c r="D47" s="22"/>
      <c r="E47" s="24"/>
      <c r="F47" s="134">
        <f>F44/F41</f>
        <v>21.535433070866141</v>
      </c>
      <c r="G47" s="134">
        <f t="shared" ref="G47:R47" si="18">G44/G41</f>
        <v>21.492537313432837</v>
      </c>
      <c r="H47" s="134">
        <f t="shared" si="18"/>
        <v>17.47422680412371</v>
      </c>
      <c r="I47" s="134">
        <f t="shared" si="18"/>
        <v>17.5</v>
      </c>
      <c r="J47" s="134">
        <f t="shared" si="18"/>
        <v>18.080568720379148</v>
      </c>
      <c r="K47" s="134">
        <f t="shared" si="18"/>
        <v>22.184713375796179</v>
      </c>
      <c r="L47" s="134">
        <f t="shared" si="18"/>
        <v>19.576388888888889</v>
      </c>
      <c r="M47" s="134">
        <f t="shared" si="18"/>
        <v>16.828571428571429</v>
      </c>
      <c r="N47" s="134">
        <f t="shared" si="18"/>
        <v>16.750902527075812</v>
      </c>
      <c r="O47" s="134">
        <f t="shared" si="18"/>
        <v>16.874027993779162</v>
      </c>
      <c r="P47" s="134">
        <f t="shared" si="18"/>
        <v>18.642384105960264</v>
      </c>
      <c r="Q47" s="134" t="e">
        <f t="shared" si="18"/>
        <v>#DIV/0!</v>
      </c>
      <c r="R47" s="134">
        <f t="shared" si="18"/>
        <v>18.120209059233449</v>
      </c>
      <c r="S47" s="30"/>
    </row>
  </sheetData>
  <mergeCells count="8">
    <mergeCell ref="A1:S1"/>
    <mergeCell ref="A6:A9"/>
    <mergeCell ref="A4:A5"/>
    <mergeCell ref="B20:B29"/>
    <mergeCell ref="A10:A30"/>
    <mergeCell ref="B10:B19"/>
    <mergeCell ref="D10:D19"/>
    <mergeCell ref="D20:D29"/>
  </mergeCells>
  <hyperlinks>
    <hyperlink ref="T30" r:id="rId1" display="https://dataviz.meritushealth.com/PbiReports/powerbi/DiabetesApp?rs:embed=true&amp;filter=PageName%20eq%20%27True%20North%20Diabetes%20Management%27"/>
    <hyperlink ref="T22" r:id="rId2"/>
  </hyperlinks>
  <printOptions horizontalCentered="1"/>
  <pageMargins left="0.25" right="0.25" top="0.5" bottom="0.5" header="0.3" footer="0.3"/>
  <pageSetup scale="37"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11" sqref="E11"/>
    </sheetView>
  </sheetViews>
  <sheetFormatPr defaultColWidth="8.7109375" defaultRowHeight="15" x14ac:dyDescent="0.25"/>
  <cols>
    <col min="1" max="1" width="8.7109375" style="12"/>
    <col min="2" max="2" width="81.140625" style="12" customWidth="1"/>
    <col min="3" max="3" width="8.7109375" style="12"/>
    <col min="4" max="4" width="10.85546875" style="12" bestFit="1" customWidth="1"/>
    <col min="5" max="16384" width="8.7109375" style="12"/>
  </cols>
  <sheetData>
    <row r="1" spans="1:3" x14ac:dyDescent="0.25">
      <c r="A1" s="12" t="s">
        <v>89</v>
      </c>
      <c r="B1" s="12" t="s">
        <v>80</v>
      </c>
      <c r="C1" s="12" t="s">
        <v>95</v>
      </c>
    </row>
    <row r="2" spans="1:3" x14ac:dyDescent="0.25">
      <c r="A2" s="12" t="s">
        <v>91</v>
      </c>
      <c r="B2" s="37"/>
      <c r="C2" s="12">
        <v>0</v>
      </c>
    </row>
    <row r="3" spans="1:3" ht="30" x14ac:dyDescent="0.25">
      <c r="A3" s="12" t="s">
        <v>90</v>
      </c>
      <c r="B3" s="37" t="s">
        <v>94</v>
      </c>
      <c r="C3" s="12">
        <v>2</v>
      </c>
    </row>
    <row r="4" spans="1:3" x14ac:dyDescent="0.25">
      <c r="A4" s="12" t="s">
        <v>92</v>
      </c>
      <c r="B4" s="12" t="s">
        <v>96</v>
      </c>
      <c r="C4" s="12">
        <v>1</v>
      </c>
    </row>
    <row r="5" spans="1:3" x14ac:dyDescent="0.25">
      <c r="A5" s="12" t="s">
        <v>81</v>
      </c>
    </row>
    <row r="6" spans="1:3" x14ac:dyDescent="0.25">
      <c r="A6" s="12" t="s">
        <v>82</v>
      </c>
    </row>
    <row r="7" spans="1:3" x14ac:dyDescent="0.25">
      <c r="A7" s="12" t="s">
        <v>83</v>
      </c>
      <c r="B7" s="37"/>
    </row>
    <row r="8" spans="1:3" ht="75" x14ac:dyDescent="0.25">
      <c r="A8" s="12" t="s">
        <v>84</v>
      </c>
      <c r="B8" s="37" t="s">
        <v>145</v>
      </c>
      <c r="C8" s="12">
        <v>3</v>
      </c>
    </row>
    <row r="9" spans="1:3" x14ac:dyDescent="0.25">
      <c r="A9" s="12" t="s">
        <v>85</v>
      </c>
    </row>
    <row r="10" spans="1:3" x14ac:dyDescent="0.25">
      <c r="A10" s="12" t="s">
        <v>86</v>
      </c>
      <c r="B10" s="12" t="s">
        <v>146</v>
      </c>
      <c r="C10" s="12">
        <v>1</v>
      </c>
    </row>
    <row r="11" spans="1:3" ht="45" x14ac:dyDescent="0.25">
      <c r="A11" s="12" t="s">
        <v>87</v>
      </c>
      <c r="B11" s="37" t="s">
        <v>147</v>
      </c>
      <c r="C11" s="12">
        <v>2</v>
      </c>
    </row>
    <row r="12" spans="1:3" x14ac:dyDescent="0.25">
      <c r="A12" s="12" t="s">
        <v>88</v>
      </c>
      <c r="B12" s="37"/>
    </row>
    <row r="13" spans="1:3" x14ac:dyDescent="0.25">
      <c r="A13" s="12"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E26" sqref="E26"/>
    </sheetView>
  </sheetViews>
  <sheetFormatPr defaultColWidth="8.7109375" defaultRowHeight="15" x14ac:dyDescent="0.25"/>
  <cols>
    <col min="1" max="1" width="24.140625" style="12" customWidth="1"/>
    <col min="2" max="2" width="9.140625" style="12" bestFit="1" customWidth="1"/>
    <col min="3" max="3" width="8.7109375" style="12"/>
    <col min="4" max="4" width="9.85546875" style="12" bestFit="1" customWidth="1"/>
    <col min="5" max="5" width="9.85546875" style="12" customWidth="1"/>
    <col min="6" max="6" width="9" style="12" bestFit="1" customWidth="1"/>
    <col min="7" max="16384" width="8.7109375" style="12"/>
  </cols>
  <sheetData>
    <row r="1" spans="1:9" ht="39" customHeight="1" x14ac:dyDescent="0.25">
      <c r="A1" s="152" t="s">
        <v>41</v>
      </c>
      <c r="B1" s="157" t="s">
        <v>40</v>
      </c>
      <c r="C1" s="157"/>
      <c r="D1" s="154" t="s">
        <v>39</v>
      </c>
      <c r="E1" s="155"/>
      <c r="F1" s="155"/>
      <c r="G1" s="155"/>
      <c r="H1" s="155"/>
      <c r="I1" s="155"/>
    </row>
    <row r="2" spans="1:9" ht="30.95" customHeight="1" x14ac:dyDescent="0.25">
      <c r="A2" s="152"/>
      <c r="B2" s="156" t="s">
        <v>37</v>
      </c>
      <c r="C2" s="156"/>
      <c r="D2" s="153" t="s">
        <v>38</v>
      </c>
      <c r="E2" s="153"/>
      <c r="F2" s="153" t="s">
        <v>37</v>
      </c>
      <c r="G2" s="153"/>
      <c r="H2" s="153" t="s">
        <v>36</v>
      </c>
      <c r="I2" s="153"/>
    </row>
    <row r="3" spans="1:9" x14ac:dyDescent="0.25">
      <c r="A3" s="19" t="s">
        <v>35</v>
      </c>
      <c r="B3" s="21">
        <v>142</v>
      </c>
      <c r="C3" s="21" t="s">
        <v>34</v>
      </c>
      <c r="D3" s="20">
        <v>79</v>
      </c>
      <c r="E3" s="20" t="s">
        <v>34</v>
      </c>
      <c r="F3" s="20">
        <v>99</v>
      </c>
      <c r="G3" s="20" t="s">
        <v>34</v>
      </c>
      <c r="H3" s="20">
        <f t="shared" ref="H3:H8" si="0">SUM(D3+F3)</f>
        <v>178</v>
      </c>
      <c r="I3" s="20" t="s">
        <v>34</v>
      </c>
    </row>
    <row r="4" spans="1:9" x14ac:dyDescent="0.25">
      <c r="A4" s="19" t="s">
        <v>33</v>
      </c>
      <c r="B4" s="18">
        <v>23</v>
      </c>
      <c r="C4" s="17">
        <v>0.16</v>
      </c>
      <c r="D4" s="16">
        <v>27</v>
      </c>
      <c r="E4" s="15">
        <v>0.34</v>
      </c>
      <c r="F4" s="16">
        <f>$F$3*G4</f>
        <v>24.75</v>
      </c>
      <c r="G4" s="15">
        <v>0.25</v>
      </c>
      <c r="H4" s="16">
        <f t="shared" si="0"/>
        <v>51.75</v>
      </c>
      <c r="I4" s="15">
        <f>H4/$H$3</f>
        <v>0.2907303370786517</v>
      </c>
    </row>
    <row r="5" spans="1:9" x14ac:dyDescent="0.25">
      <c r="A5" s="19" t="s">
        <v>32</v>
      </c>
      <c r="B5" s="18">
        <v>67</v>
      </c>
      <c r="C5" s="17">
        <v>0.47</v>
      </c>
      <c r="D5" s="16">
        <v>39</v>
      </c>
      <c r="E5" s="15">
        <v>0.49</v>
      </c>
      <c r="F5" s="16">
        <f>$F$3*G5</f>
        <v>51.480000000000004</v>
      </c>
      <c r="G5" s="15">
        <v>0.52</v>
      </c>
      <c r="H5" s="16">
        <f t="shared" si="0"/>
        <v>90.48</v>
      </c>
      <c r="I5" s="15">
        <f>H5/$H$3</f>
        <v>0.50831460674157303</v>
      </c>
    </row>
    <row r="6" spans="1:9" x14ac:dyDescent="0.25">
      <c r="A6" s="19" t="s">
        <v>31</v>
      </c>
      <c r="B6" s="18">
        <v>39</v>
      </c>
      <c r="C6" s="17">
        <v>0.27</v>
      </c>
      <c r="D6" s="16">
        <v>7</v>
      </c>
      <c r="E6" s="15">
        <v>0.09</v>
      </c>
      <c r="F6" s="16">
        <f>$F$3*G6</f>
        <v>17.82</v>
      </c>
      <c r="G6" s="15">
        <v>0.18</v>
      </c>
      <c r="H6" s="16">
        <f t="shared" si="0"/>
        <v>24.82</v>
      </c>
      <c r="I6" s="15">
        <f>H6/$H$3</f>
        <v>0.139438202247191</v>
      </c>
    </row>
    <row r="7" spans="1:9" x14ac:dyDescent="0.25">
      <c r="A7" s="19" t="s">
        <v>30</v>
      </c>
      <c r="B7" s="18">
        <v>8</v>
      </c>
      <c r="C7" s="17">
        <v>0.06</v>
      </c>
      <c r="D7" s="16">
        <v>6</v>
      </c>
      <c r="E7" s="15">
        <v>0.08</v>
      </c>
      <c r="F7" s="16">
        <f>$F$3*G7</f>
        <v>4.95</v>
      </c>
      <c r="G7" s="15">
        <v>0.05</v>
      </c>
      <c r="H7" s="16">
        <f t="shared" si="0"/>
        <v>10.95</v>
      </c>
      <c r="I7" s="15">
        <f>H7/$H$3</f>
        <v>6.1516853932584263E-2</v>
      </c>
    </row>
    <row r="8" spans="1:9" x14ac:dyDescent="0.25">
      <c r="A8" s="19" t="s">
        <v>29</v>
      </c>
      <c r="B8" s="18">
        <v>5</v>
      </c>
      <c r="C8" s="17">
        <v>0.05</v>
      </c>
      <c r="D8" s="16">
        <v>0</v>
      </c>
      <c r="E8" s="15">
        <v>0</v>
      </c>
      <c r="F8" s="16">
        <f>$F$3*G8</f>
        <v>0</v>
      </c>
      <c r="G8" s="15">
        <v>0</v>
      </c>
      <c r="H8" s="16">
        <f t="shared" si="0"/>
        <v>0</v>
      </c>
      <c r="I8" s="15">
        <f>H8/$H$3</f>
        <v>0</v>
      </c>
    </row>
    <row r="9" spans="1:9" x14ac:dyDescent="0.25">
      <c r="D9" s="14" t="s">
        <v>28</v>
      </c>
    </row>
    <row r="10" spans="1:9" x14ac:dyDescent="0.25">
      <c r="D10" s="14" t="s">
        <v>27</v>
      </c>
    </row>
    <row r="11" spans="1:9" x14ac:dyDescent="0.25">
      <c r="D11" s="14" t="s">
        <v>26</v>
      </c>
    </row>
    <row r="12" spans="1:9" x14ac:dyDescent="0.25">
      <c r="D12" s="14" t="s">
        <v>25</v>
      </c>
    </row>
    <row r="13" spans="1:9" x14ac:dyDescent="0.25">
      <c r="D13" s="14" t="s">
        <v>24</v>
      </c>
    </row>
    <row r="14" spans="1:9" x14ac:dyDescent="0.25">
      <c r="D14" s="14" t="s">
        <v>23</v>
      </c>
    </row>
    <row r="15" spans="1:9" x14ac:dyDescent="0.25">
      <c r="D15" s="14" t="s">
        <v>22</v>
      </c>
    </row>
    <row r="16" spans="1:9" x14ac:dyDescent="0.25">
      <c r="D16" s="13" t="s">
        <v>21</v>
      </c>
    </row>
    <row r="17" spans="4:4" x14ac:dyDescent="0.25">
      <c r="D17" s="13" t="s">
        <v>20</v>
      </c>
    </row>
  </sheetData>
  <mergeCells count="7">
    <mergeCell ref="A1:A2"/>
    <mergeCell ref="H2:I2"/>
    <mergeCell ref="D1:I1"/>
    <mergeCell ref="B2:C2"/>
    <mergeCell ref="D2:E2"/>
    <mergeCell ref="F2:G2"/>
    <mergeCell ref="B1:C1"/>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B4" sqref="B4"/>
    </sheetView>
  </sheetViews>
  <sheetFormatPr defaultRowHeight="15" x14ac:dyDescent="0.25"/>
  <cols>
    <col min="2" max="2" width="37.5703125" bestFit="1" customWidth="1"/>
  </cols>
  <sheetData>
    <row r="1" spans="1:5" x14ac:dyDescent="0.25">
      <c r="A1" t="s">
        <v>114</v>
      </c>
      <c r="B1" t="s">
        <v>115</v>
      </c>
      <c r="C1" t="s">
        <v>116</v>
      </c>
      <c r="D1" t="s">
        <v>117</v>
      </c>
      <c r="E1" t="s">
        <v>118</v>
      </c>
    </row>
    <row r="2" spans="1:5" x14ac:dyDescent="0.25">
      <c r="B2" t="s">
        <v>119</v>
      </c>
    </row>
    <row r="3" spans="1:5" x14ac:dyDescent="0.25">
      <c r="B3"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FY23</vt:lpstr>
      <vt:lpstr>Sheet1</vt:lpstr>
      <vt:lpstr>Survey Response Detail</vt:lpstr>
      <vt:lpstr>IHEM - Diabetes</vt:lpstr>
      <vt:lpstr>'FY23'!Print_Titles</vt:lpstr>
    </vt:vector>
  </TitlesOfParts>
  <Company>Meritus Health,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Twigg</dc:creator>
  <cp:lastModifiedBy>David M. Lehr</cp:lastModifiedBy>
  <cp:lastPrinted>2022-12-05T18:33:45Z</cp:lastPrinted>
  <dcterms:created xsi:type="dcterms:W3CDTF">2020-07-15T19:14:36Z</dcterms:created>
  <dcterms:modified xsi:type="dcterms:W3CDTF">2023-07-03T16:16:47Z</dcterms:modified>
</cp:coreProperties>
</file>